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Team Results" sheetId="1" r:id="rId1"/>
  </sheets>
  <definedNames/>
  <calcPr fullCalcOnLoad="1"/>
</workbook>
</file>

<file path=xl/sharedStrings.xml><?xml version="1.0" encoding="utf-8"?>
<sst xmlns="http://schemas.openxmlformats.org/spreadsheetml/2006/main" count="125" uniqueCount="66">
  <si>
    <t>5TH ANNUAL WAYNE COUNTY TOURNAMENT</t>
  </si>
  <si>
    <t>GIRLS DIVISION</t>
  </si>
  <si>
    <t>SCHOOL</t>
  </si>
  <si>
    <t>Gm 1</t>
  </si>
  <si>
    <t>Gm 2</t>
  </si>
  <si>
    <t>Gm 3</t>
  </si>
  <si>
    <t>Baker 1</t>
  </si>
  <si>
    <t>Baker 2</t>
  </si>
  <si>
    <t>Totals</t>
  </si>
  <si>
    <t>ANNAPOLIS</t>
  </si>
  <si>
    <t>BELLEVILLE</t>
  </si>
  <si>
    <t>VARSITY GIRLS</t>
  </si>
  <si>
    <t>CANTON</t>
  </si>
  <si>
    <t>CRESTWOOD</t>
  </si>
  <si>
    <t xml:space="preserve">      TOURNAMENT CHAMPIONS</t>
  </si>
  <si>
    <t>DIVINE CHILD</t>
  </si>
  <si>
    <t>FLAT ROCK</t>
  </si>
  <si>
    <t>JOHN GLENN</t>
  </si>
  <si>
    <t xml:space="preserve">RUNNER UP: </t>
  </si>
  <si>
    <t>KENNEDY</t>
  </si>
  <si>
    <t>LADYWOOD</t>
  </si>
  <si>
    <t>NORTHVILLE</t>
  </si>
  <si>
    <t>PLYMOUTH</t>
  </si>
  <si>
    <t>SALEM</t>
  </si>
  <si>
    <t>SOUTHGATE</t>
  </si>
  <si>
    <t>TRENTON</t>
  </si>
  <si>
    <t>TRUMAN</t>
  </si>
  <si>
    <t>WAYNE MEMORIAL</t>
  </si>
  <si>
    <t>WOODHAVEN</t>
  </si>
  <si>
    <t xml:space="preserve">High Game:  </t>
  </si>
  <si>
    <t xml:space="preserve">High Series:  </t>
  </si>
  <si>
    <t>JV GIRLS DIVISION</t>
  </si>
  <si>
    <t>JV GIRLS TOURNAMENT CHAMPIONS</t>
  </si>
  <si>
    <t>High Game</t>
  </si>
  <si>
    <r>
      <t>High Series:</t>
    </r>
    <r>
      <rPr>
        <b/>
        <sz val="12"/>
        <rFont val="Arial"/>
        <family val="2"/>
      </rPr>
      <t xml:space="preserve"> </t>
    </r>
  </si>
  <si>
    <t xml:space="preserve"> </t>
  </si>
  <si>
    <t>BOYS DIVISION</t>
  </si>
  <si>
    <t xml:space="preserve">      VARSITY BOYS</t>
  </si>
  <si>
    <t xml:space="preserve">         TOURNAMENT CHAMPIONS</t>
  </si>
  <si>
    <t xml:space="preserve">RUNNER UP:  </t>
  </si>
  <si>
    <t>RIVERVIEW</t>
  </si>
  <si>
    <t>ROMULUS</t>
  </si>
  <si>
    <t>U OF D JESUIT</t>
  </si>
  <si>
    <t xml:space="preserve">High Game        </t>
  </si>
  <si>
    <t xml:space="preserve">High Series            </t>
  </si>
  <si>
    <t>JV BOYS DIVISION</t>
  </si>
  <si>
    <t>JV BOYS TOURNAMENT CHAMPIONS</t>
  </si>
  <si>
    <t xml:space="preserve">High Series    </t>
  </si>
  <si>
    <t>GABRIEL RICHARD</t>
  </si>
  <si>
    <t>KELLEE ROSE (FLAT ROCK) 184</t>
  </si>
  <si>
    <t>MEGAN SMOLTZ (CRESTWOOD) 463</t>
  </si>
  <si>
    <t>HILLARY HAMILTON (FLAT ROCK) 463</t>
  </si>
  <si>
    <t>JOSHUA HARRIS (FLAT ROCK)  289</t>
  </si>
  <si>
    <t>MITCH DEAN (JOHN GLENN) 689</t>
  </si>
  <si>
    <t xml:space="preserve">NATALIE BROWN  (JOHN GLENN)  258  </t>
  </si>
  <si>
    <t xml:space="preserve">ASHLEY CUNNINGHAM (CRESTWOOD) 236 </t>
  </si>
  <si>
    <t>KERRY LaVALLEY (LADYWOOD)  231</t>
  </si>
  <si>
    <t>JESSIE SAMMUT (NORTHVILLE)  621</t>
  </si>
  <si>
    <t>KENNA WILLIAMS  (KENNEDY)  616</t>
  </si>
  <si>
    <t>ALLISON PACE  (SOUTHGATE)  599</t>
  </si>
  <si>
    <t>BRANDON ZURAWSKI (FLAT ROCK)  279</t>
  </si>
  <si>
    <t>RYAN CLARK (SALEM)  279</t>
  </si>
  <si>
    <t>KURT DOMKE (WOODHAVEN) 277</t>
  </si>
  <si>
    <t>KURT DOMKE (WOODHAVEN)  727</t>
  </si>
  <si>
    <t>ROSS TERRASI  (CANTON)  724</t>
  </si>
  <si>
    <t xml:space="preserve">RYAN CLARK  (SALEM)  722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</si>
</sst>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;@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right"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PageLayoutView="0" workbookViewId="0" topLeftCell="A1">
      <selection activeCell="K50" sqref="K50"/>
    </sheetView>
  </sheetViews>
  <sheetFormatPr defaultColWidth="9.140625" defaultRowHeight="12.75"/>
  <cols>
    <col min="1" max="1" width="3.421875" style="1" customWidth="1"/>
    <col min="2" max="2" width="17.8515625" style="0" customWidth="1"/>
    <col min="3" max="8" width="8.7109375" style="0" customWidth="1"/>
    <col min="9" max="9" width="3.28125" style="0" customWidth="1"/>
  </cols>
  <sheetData>
    <row r="1" spans="2:9" ht="15">
      <c r="B1" s="29" t="s">
        <v>0</v>
      </c>
      <c r="C1" s="29"/>
      <c r="D1" s="29"/>
      <c r="E1" s="29"/>
      <c r="F1" s="29"/>
      <c r="G1" s="29"/>
      <c r="H1" s="29"/>
      <c r="I1" s="2"/>
    </row>
    <row r="2" spans="2:9" ht="15">
      <c r="B2" s="31">
        <v>40201</v>
      </c>
      <c r="C2" s="31"/>
      <c r="D2" s="31"/>
      <c r="E2" s="31"/>
      <c r="F2" s="31"/>
      <c r="G2" s="31"/>
      <c r="H2" s="31"/>
      <c r="I2" s="3"/>
    </row>
    <row r="3" spans="2:9" ht="15">
      <c r="B3" s="29" t="s">
        <v>1</v>
      </c>
      <c r="C3" s="29"/>
      <c r="D3" s="29"/>
      <c r="E3" s="29"/>
      <c r="F3" s="29"/>
      <c r="G3" s="29"/>
      <c r="H3" s="29"/>
      <c r="I3" s="2"/>
    </row>
    <row r="4" spans="2:8" ht="12.75"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</row>
    <row r="5" spans="1:8" ht="12" customHeight="1">
      <c r="A5" s="7">
        <v>1</v>
      </c>
      <c r="B5" s="8" t="s">
        <v>21</v>
      </c>
      <c r="C5" s="8">
        <f>165+210+164+157+165</f>
        <v>861</v>
      </c>
      <c r="D5" s="8">
        <f>217+160+136+189+122</f>
        <v>824</v>
      </c>
      <c r="E5" s="8">
        <f>169+194+117+188+187</f>
        <v>855</v>
      </c>
      <c r="F5" s="8">
        <f>181+172</f>
        <v>353</v>
      </c>
      <c r="G5" s="8">
        <f>151+189</f>
        <v>340</v>
      </c>
      <c r="H5" s="8">
        <f aca="true" t="shared" si="0" ref="H5:H22">C5+D5+E5+F5+G5</f>
        <v>3233</v>
      </c>
    </row>
    <row r="6" spans="1:11" ht="15">
      <c r="A6" s="7">
        <v>2</v>
      </c>
      <c r="B6" s="8" t="s">
        <v>17</v>
      </c>
      <c r="C6" s="8">
        <f>156+155+183+111+117</f>
        <v>722</v>
      </c>
      <c r="D6" s="8">
        <f>181+166+188+258+132</f>
        <v>925</v>
      </c>
      <c r="E6" s="8">
        <f>187+136+161+214+146</f>
        <v>844</v>
      </c>
      <c r="F6" s="8">
        <f>167+162</f>
        <v>329</v>
      </c>
      <c r="G6" s="8">
        <f>196+213</f>
        <v>409</v>
      </c>
      <c r="H6" s="8">
        <f t="shared" si="0"/>
        <v>3229</v>
      </c>
      <c r="K6" s="9" t="s">
        <v>11</v>
      </c>
    </row>
    <row r="7" spans="1:8" ht="12" customHeight="1">
      <c r="A7" s="7">
        <v>3</v>
      </c>
      <c r="B7" s="8" t="s">
        <v>16</v>
      </c>
      <c r="C7" s="8">
        <f>202+167+214+159+155</f>
        <v>897</v>
      </c>
      <c r="D7" s="23">
        <f>158+181+184+175+168</f>
        <v>866</v>
      </c>
      <c r="E7" s="8">
        <f>157+137+141+145+168</f>
        <v>748</v>
      </c>
      <c r="F7" s="8">
        <f>160+207</f>
        <v>367</v>
      </c>
      <c r="G7" s="8">
        <f>159+165</f>
        <v>324</v>
      </c>
      <c r="H7" s="8">
        <f t="shared" si="0"/>
        <v>3202</v>
      </c>
    </row>
    <row r="8" spans="1:10" ht="15">
      <c r="A8" s="7">
        <v>4</v>
      </c>
      <c r="B8" s="8" t="s">
        <v>28</v>
      </c>
      <c r="C8" s="8">
        <f>116+149+178+133+153</f>
        <v>729</v>
      </c>
      <c r="D8" s="8">
        <f>150+179+194+151+212</f>
        <v>886</v>
      </c>
      <c r="E8" s="8">
        <f>153+128+220+122+222</f>
        <v>845</v>
      </c>
      <c r="F8" s="8">
        <f>197+154</f>
        <v>351</v>
      </c>
      <c r="G8" s="8">
        <f>156+200</f>
        <v>356</v>
      </c>
      <c r="H8" s="8">
        <f t="shared" si="0"/>
        <v>3167</v>
      </c>
      <c r="J8" s="26" t="s">
        <v>14</v>
      </c>
    </row>
    <row r="9" spans="1:11" ht="18" customHeight="1">
      <c r="A9" s="7">
        <v>5</v>
      </c>
      <c r="B9" s="8" t="s">
        <v>19</v>
      </c>
      <c r="C9" s="8">
        <f>179+200+118+207+167</f>
        <v>871</v>
      </c>
      <c r="D9" s="23">
        <f>136+125+124+172+214</f>
        <v>771</v>
      </c>
      <c r="E9" s="8">
        <f>120+146+182+195+165</f>
        <v>808</v>
      </c>
      <c r="F9" s="8">
        <f>174+191</f>
        <v>365</v>
      </c>
      <c r="G9" s="8">
        <f>149+181</f>
        <v>330</v>
      </c>
      <c r="H9" s="8">
        <f t="shared" si="0"/>
        <v>3145</v>
      </c>
      <c r="K9" s="33" t="s">
        <v>19</v>
      </c>
    </row>
    <row r="10" spans="1:15" ht="17.25">
      <c r="A10" s="7">
        <v>6</v>
      </c>
      <c r="B10" s="8" t="s">
        <v>27</v>
      </c>
      <c r="C10" s="8">
        <f>157+155+169+180+186</f>
        <v>847</v>
      </c>
      <c r="D10" s="8">
        <f>144+124+154+141+177</f>
        <v>740</v>
      </c>
      <c r="E10" s="8">
        <f>191+140+181+135+204</f>
        <v>851</v>
      </c>
      <c r="F10" s="8">
        <f>145+214</f>
        <v>359</v>
      </c>
      <c r="G10" s="8">
        <f>145+171</f>
        <v>316</v>
      </c>
      <c r="H10" s="8">
        <f t="shared" si="0"/>
        <v>3113</v>
      </c>
      <c r="J10" s="32"/>
      <c r="K10" s="32"/>
      <c r="L10" s="32"/>
      <c r="M10" s="32"/>
      <c r="N10" s="32"/>
      <c r="O10" s="10"/>
    </row>
    <row r="11" spans="1:12" ht="13.5" customHeight="1">
      <c r="A11" s="7">
        <v>7</v>
      </c>
      <c r="B11" s="8" t="s">
        <v>24</v>
      </c>
      <c r="C11" s="8">
        <f>188+146+210+126+114</f>
        <v>784</v>
      </c>
      <c r="D11" s="8">
        <f>223+173+153+157+128</f>
        <v>834</v>
      </c>
      <c r="E11" s="8">
        <f>188+177+182+157+170</f>
        <v>874</v>
      </c>
      <c r="F11" s="8">
        <f>131+166</f>
        <v>297</v>
      </c>
      <c r="G11" s="8">
        <f>129+192</f>
        <v>321</v>
      </c>
      <c r="H11" s="8">
        <f t="shared" si="0"/>
        <v>3110</v>
      </c>
      <c r="J11" s="11"/>
      <c r="L11" s="9"/>
    </row>
    <row r="12" spans="1:10" ht="15">
      <c r="A12" s="7">
        <v>8</v>
      </c>
      <c r="B12" s="8" t="s">
        <v>15</v>
      </c>
      <c r="C12" s="8">
        <f>118+163+163+141+129</f>
        <v>714</v>
      </c>
      <c r="D12" s="8">
        <f>151+164+155+225+185</f>
        <v>880</v>
      </c>
      <c r="E12" s="8">
        <f>138+151+105+160+161</f>
        <v>715</v>
      </c>
      <c r="F12" s="8">
        <f>213+151</f>
        <v>364</v>
      </c>
      <c r="G12" s="8">
        <f>168+169</f>
        <v>337</v>
      </c>
      <c r="H12" s="8">
        <f t="shared" si="0"/>
        <v>3010</v>
      </c>
      <c r="J12" s="11" t="s">
        <v>18</v>
      </c>
    </row>
    <row r="13" spans="1:12" ht="13.5" customHeight="1">
      <c r="A13" s="7">
        <v>9</v>
      </c>
      <c r="B13" s="8" t="s">
        <v>20</v>
      </c>
      <c r="C13" s="8">
        <f>146+163+190+170+128</f>
        <v>797</v>
      </c>
      <c r="D13" s="8">
        <f>136+133+148+159+135</f>
        <v>711</v>
      </c>
      <c r="E13" s="8">
        <f>139+210+140+231+160</f>
        <v>880</v>
      </c>
      <c r="F13" s="8">
        <f>146+150</f>
        <v>296</v>
      </c>
      <c r="G13" s="8">
        <f>118+147</f>
        <v>265</v>
      </c>
      <c r="H13" s="8">
        <f t="shared" si="0"/>
        <v>2949</v>
      </c>
      <c r="L13" s="12"/>
    </row>
    <row r="14" spans="1:11" ht="13.5">
      <c r="A14" s="7">
        <v>10</v>
      </c>
      <c r="B14" s="8" t="s">
        <v>23</v>
      </c>
      <c r="C14" s="8">
        <f>162+155+164+170+114</f>
        <v>765</v>
      </c>
      <c r="D14" s="8">
        <f>190+126+128+211+135</f>
        <v>790</v>
      </c>
      <c r="E14" s="8">
        <f>192+179+127+141+114</f>
        <v>753</v>
      </c>
      <c r="F14" s="8">
        <f>135+171</f>
        <v>306</v>
      </c>
      <c r="G14" s="8">
        <f>164+158</f>
        <v>322</v>
      </c>
      <c r="H14" s="8">
        <f t="shared" si="0"/>
        <v>2936</v>
      </c>
      <c r="K14" s="28" t="s">
        <v>24</v>
      </c>
    </row>
    <row r="15" spans="1:8" ht="12" customHeight="1">
      <c r="A15" s="7">
        <v>11</v>
      </c>
      <c r="B15" s="8" t="s">
        <v>13</v>
      </c>
      <c r="C15" s="8">
        <f>182+158+122+167+167</f>
        <v>796</v>
      </c>
      <c r="D15" s="8">
        <f>141+236+183+104+147</f>
        <v>811</v>
      </c>
      <c r="E15" s="8">
        <f>178+149+144+174+105</f>
        <v>750</v>
      </c>
      <c r="F15" s="8">
        <f>114+151</f>
        <v>265</v>
      </c>
      <c r="G15" s="8">
        <f>130+177</f>
        <v>307</v>
      </c>
      <c r="H15" s="8">
        <f t="shared" si="0"/>
        <v>2929</v>
      </c>
    </row>
    <row r="16" spans="1:8" ht="12" customHeight="1">
      <c r="A16" s="7">
        <v>12</v>
      </c>
      <c r="B16" s="8" t="s">
        <v>10</v>
      </c>
      <c r="C16" s="8">
        <f>134+192+109+155+133</f>
        <v>723</v>
      </c>
      <c r="D16" s="8">
        <f>159+137+174+168+175</f>
        <v>813</v>
      </c>
      <c r="E16" s="8">
        <f>113+165+173+136+161</f>
        <v>748</v>
      </c>
      <c r="F16" s="8">
        <f>131+140</f>
        <v>271</v>
      </c>
      <c r="G16" s="8">
        <f>138+168</f>
        <v>306</v>
      </c>
      <c r="H16" s="8">
        <f t="shared" si="0"/>
        <v>2861</v>
      </c>
    </row>
    <row r="17" spans="1:8" ht="12" customHeight="1">
      <c r="A17" s="7">
        <v>13</v>
      </c>
      <c r="B17" s="8" t="s">
        <v>12</v>
      </c>
      <c r="C17" s="8">
        <f>174+160+150+155+110</f>
        <v>749</v>
      </c>
      <c r="D17" s="8">
        <f>153+147+141+145+129</f>
        <v>715</v>
      </c>
      <c r="E17" s="8">
        <f>144+157+163+133+165</f>
        <v>762</v>
      </c>
      <c r="F17" s="8">
        <f>178+155</f>
        <v>333</v>
      </c>
      <c r="G17" s="8">
        <f>162+127</f>
        <v>289</v>
      </c>
      <c r="H17" s="8">
        <f t="shared" si="0"/>
        <v>2848</v>
      </c>
    </row>
    <row r="18" spans="1:8" ht="12" customHeight="1">
      <c r="A18" s="7">
        <v>14</v>
      </c>
      <c r="B18" s="8" t="s">
        <v>26</v>
      </c>
      <c r="C18" s="8">
        <f>126+203+137+111+108</f>
        <v>685</v>
      </c>
      <c r="D18" s="8">
        <f>166+163+153+131+88</f>
        <v>701</v>
      </c>
      <c r="E18" s="8">
        <f>126+141+166+152+204</f>
        <v>789</v>
      </c>
      <c r="F18" s="8">
        <f>139+129</f>
        <v>268</v>
      </c>
      <c r="G18" s="8">
        <f>198+153</f>
        <v>351</v>
      </c>
      <c r="H18" s="8">
        <f t="shared" si="0"/>
        <v>2794</v>
      </c>
    </row>
    <row r="19" spans="1:8" ht="12" customHeight="1">
      <c r="A19" s="7">
        <v>15</v>
      </c>
      <c r="B19" s="23" t="s">
        <v>48</v>
      </c>
      <c r="C19" s="8">
        <f>150+117+73+175+193</f>
        <v>708</v>
      </c>
      <c r="D19" s="8">
        <f>154+153+131+157+111</f>
        <v>706</v>
      </c>
      <c r="E19" s="8">
        <f>147+110+183+222+118</f>
        <v>780</v>
      </c>
      <c r="F19" s="8">
        <f>132+143</f>
        <v>275</v>
      </c>
      <c r="G19" s="8">
        <f>143+158</f>
        <v>301</v>
      </c>
      <c r="H19" s="8">
        <f t="shared" si="0"/>
        <v>2770</v>
      </c>
    </row>
    <row r="20" spans="1:8" ht="12" customHeight="1">
      <c r="A20" s="7">
        <v>16</v>
      </c>
      <c r="B20" s="8" t="s">
        <v>25</v>
      </c>
      <c r="C20" s="8">
        <f>171+170+134+119+112</f>
        <v>706</v>
      </c>
      <c r="D20" s="8">
        <f>164+229+144+140+136</f>
        <v>813</v>
      </c>
      <c r="E20" s="8">
        <f>225+139+123+67+79</f>
        <v>633</v>
      </c>
      <c r="F20" s="8">
        <f>160+136</f>
        <v>296</v>
      </c>
      <c r="G20" s="8">
        <f>164+134</f>
        <v>298</v>
      </c>
      <c r="H20" s="8">
        <f t="shared" si="0"/>
        <v>2746</v>
      </c>
    </row>
    <row r="21" spans="1:8" ht="12" customHeight="1">
      <c r="A21" s="7">
        <v>17</v>
      </c>
      <c r="B21" s="8" t="s">
        <v>9</v>
      </c>
      <c r="C21" s="8">
        <f>145+189+112+174+79</f>
        <v>699</v>
      </c>
      <c r="D21" s="8">
        <f>170+150+190+100+98</f>
        <v>708</v>
      </c>
      <c r="E21" s="8">
        <f>154+210+193+59+120</f>
        <v>736</v>
      </c>
      <c r="F21" s="8">
        <f>139+156</f>
        <v>295</v>
      </c>
      <c r="G21" s="8">
        <f>126+155</f>
        <v>281</v>
      </c>
      <c r="H21" s="8">
        <f t="shared" si="0"/>
        <v>2719</v>
      </c>
    </row>
    <row r="22" spans="1:8" ht="12" customHeight="1">
      <c r="A22" s="7">
        <v>18</v>
      </c>
      <c r="B22" s="8" t="s">
        <v>22</v>
      </c>
      <c r="C22" s="8">
        <f>122+117+139+141+110</f>
        <v>629</v>
      </c>
      <c r="D22" s="8">
        <f>118+190+167+139+113</f>
        <v>727</v>
      </c>
      <c r="E22" s="8">
        <f>127+186+167+122+104</f>
        <v>706</v>
      </c>
      <c r="F22" s="8">
        <f>107+158</f>
        <v>265</v>
      </c>
      <c r="G22" s="8">
        <f>174+146</f>
        <v>320</v>
      </c>
      <c r="H22" s="8">
        <f t="shared" si="0"/>
        <v>2647</v>
      </c>
    </row>
    <row r="23" spans="1:8" ht="12.75">
      <c r="A23" s="13"/>
      <c r="B23" s="14"/>
      <c r="C23" s="14"/>
      <c r="D23" s="14"/>
      <c r="E23" s="14"/>
      <c r="F23" s="14"/>
      <c r="G23" s="14"/>
      <c r="H23" s="14"/>
    </row>
    <row r="24" spans="2:8" ht="15">
      <c r="B24" s="15" t="s">
        <v>29</v>
      </c>
      <c r="C24" s="16"/>
      <c r="D24" s="14"/>
      <c r="E24" s="14"/>
      <c r="F24" s="15" t="s">
        <v>30</v>
      </c>
      <c r="G24" s="14"/>
      <c r="H24" s="14"/>
    </row>
    <row r="25" spans="2:8" ht="15">
      <c r="B25" s="14" t="s">
        <v>54</v>
      </c>
      <c r="C25" s="16"/>
      <c r="D25" s="14"/>
      <c r="E25" s="14"/>
      <c r="F25" s="24" t="s">
        <v>57</v>
      </c>
      <c r="G25" s="24"/>
      <c r="H25" s="14"/>
    </row>
    <row r="26" spans="2:8" ht="12.75" customHeight="1">
      <c r="B26" s="14" t="s">
        <v>55</v>
      </c>
      <c r="C26" s="17"/>
      <c r="F26" s="24" t="s">
        <v>58</v>
      </c>
      <c r="G26" s="25"/>
      <c r="H26" s="17"/>
    </row>
    <row r="27" spans="2:8" ht="12.75" customHeight="1">
      <c r="B27" s="14" t="s">
        <v>56</v>
      </c>
      <c r="C27" s="17"/>
      <c r="F27" s="24" t="s">
        <v>59</v>
      </c>
      <c r="G27" s="25"/>
      <c r="H27" s="17"/>
    </row>
    <row r="28" spans="3:8" ht="12.75" customHeight="1">
      <c r="C28" s="17"/>
      <c r="H28" s="17"/>
    </row>
    <row r="29" spans="2:8" ht="12.75">
      <c r="B29" s="29" t="s">
        <v>31</v>
      </c>
      <c r="C29" s="29"/>
      <c r="D29" s="29"/>
      <c r="E29" s="29"/>
      <c r="F29" s="29"/>
      <c r="G29" s="29"/>
      <c r="H29" s="29"/>
    </row>
    <row r="30" spans="2:8" ht="12.75">
      <c r="B30" s="18" t="s">
        <v>2</v>
      </c>
      <c r="C30" s="19" t="s">
        <v>3</v>
      </c>
      <c r="D30" s="19" t="s">
        <v>4</v>
      </c>
      <c r="E30" s="19" t="s">
        <v>5</v>
      </c>
      <c r="F30" s="19" t="s">
        <v>6</v>
      </c>
      <c r="G30" s="19" t="s">
        <v>7</v>
      </c>
      <c r="H30" s="20" t="s">
        <v>8</v>
      </c>
    </row>
    <row r="31" spans="1:8" ht="12" customHeight="1">
      <c r="A31" s="7">
        <v>1</v>
      </c>
      <c r="B31" s="8" t="s">
        <v>16</v>
      </c>
      <c r="C31" s="8">
        <f>100+156+149+107+119</f>
        <v>631</v>
      </c>
      <c r="D31" s="8">
        <f>129+137+144+139+132</f>
        <v>681</v>
      </c>
      <c r="E31" s="8">
        <f>149+177+184+165+133</f>
        <v>808</v>
      </c>
      <c r="F31" s="8">
        <f>132+146</f>
        <v>278</v>
      </c>
      <c r="G31" s="8">
        <f>161+131</f>
        <v>292</v>
      </c>
      <c r="H31" s="8">
        <f>C31+D31+E31+F31+G31</f>
        <v>2690</v>
      </c>
    </row>
    <row r="32" spans="1:10" ht="15">
      <c r="A32" s="7">
        <v>2</v>
      </c>
      <c r="B32" s="8" t="s">
        <v>13</v>
      </c>
      <c r="C32" s="8">
        <f>111+149+124+151+98</f>
        <v>633</v>
      </c>
      <c r="D32" s="8">
        <f>143+144+113+161+100</f>
        <v>661</v>
      </c>
      <c r="E32" s="8">
        <f>151+167+176+151+128</f>
        <v>773</v>
      </c>
      <c r="F32" s="8">
        <f>189+160</f>
        <v>349</v>
      </c>
      <c r="G32" s="8">
        <f>107+112</f>
        <v>219</v>
      </c>
      <c r="H32" s="8">
        <f>C32+D32+E32+F32+G32</f>
        <v>2635</v>
      </c>
      <c r="J32" s="9" t="s">
        <v>32</v>
      </c>
    </row>
    <row r="33" spans="1:10" ht="12.75" customHeight="1">
      <c r="A33" s="7">
        <v>3</v>
      </c>
      <c r="B33" s="8" t="s">
        <v>17</v>
      </c>
      <c r="C33" s="36">
        <f>108+103+137+133+132</f>
        <v>613</v>
      </c>
      <c r="D33" s="8">
        <f>121+111+141+140+108</f>
        <v>621</v>
      </c>
      <c r="E33" s="8">
        <f>125+130+154+104+178</f>
        <v>691</v>
      </c>
      <c r="F33" s="8">
        <f>150+137</f>
        <v>287</v>
      </c>
      <c r="G33" s="8">
        <f>134+124</f>
        <v>258</v>
      </c>
      <c r="H33" s="8">
        <f>C33+D33+E33+F33+G33</f>
        <v>2470</v>
      </c>
      <c r="J33" s="9"/>
    </row>
    <row r="34" spans="1:11" ht="15">
      <c r="A34" s="7">
        <v>4</v>
      </c>
      <c r="B34" s="34" t="s">
        <v>21</v>
      </c>
      <c r="C34" s="37">
        <f>137+113+91+91+110</f>
        <v>542</v>
      </c>
      <c r="D34" s="35">
        <f>123+151+125+118+113</f>
        <v>630</v>
      </c>
      <c r="E34" s="8">
        <f>127+122+118+97+160</f>
        <v>624</v>
      </c>
      <c r="F34" s="8">
        <f>148+123</f>
        <v>271</v>
      </c>
      <c r="G34" s="8">
        <f>121+126</f>
        <v>247</v>
      </c>
      <c r="H34" s="8">
        <f>C34+D34+E34+F34+G34</f>
        <v>2314</v>
      </c>
      <c r="J34" s="9"/>
      <c r="K34" s="27" t="s">
        <v>17</v>
      </c>
    </row>
    <row r="35" spans="1:8" ht="12" customHeight="1">
      <c r="A35" s="7">
        <v>5</v>
      </c>
      <c r="B35" s="34" t="s">
        <v>20</v>
      </c>
      <c r="C35" s="38">
        <f>116+110+61+162+144</f>
        <v>593</v>
      </c>
      <c r="D35" s="35">
        <f>122+93+150+139+142</f>
        <v>646</v>
      </c>
      <c r="E35" s="8">
        <f>144+113+98+134+105</f>
        <v>594</v>
      </c>
      <c r="F35" s="8">
        <f>113+97</f>
        <v>210</v>
      </c>
      <c r="G35" s="8">
        <f>121+113</f>
        <v>234</v>
      </c>
      <c r="H35" s="8">
        <f>C35+D35+E35+F35+G35</f>
        <v>2277</v>
      </c>
    </row>
    <row r="36" ht="12" customHeight="1">
      <c r="A36"/>
    </row>
    <row r="37" spans="2:6" ht="15">
      <c r="B37" s="18" t="s">
        <v>33</v>
      </c>
      <c r="C37" s="21"/>
      <c r="F37" s="18" t="s">
        <v>34</v>
      </c>
    </row>
    <row r="38" spans="2:8" ht="15">
      <c r="B38" t="s">
        <v>49</v>
      </c>
      <c r="C38" s="17"/>
      <c r="F38" s="14" t="s">
        <v>50</v>
      </c>
      <c r="H38" s="17"/>
    </row>
    <row r="39" spans="2:6" ht="12.75">
      <c r="B39" t="s">
        <v>35</v>
      </c>
      <c r="F39" s="14" t="s">
        <v>51</v>
      </c>
    </row>
    <row r="41" spans="2:9" ht="15">
      <c r="B41" s="29" t="s">
        <v>0</v>
      </c>
      <c r="C41" s="29"/>
      <c r="D41" s="29"/>
      <c r="E41" s="29"/>
      <c r="F41" s="29"/>
      <c r="G41" s="29"/>
      <c r="H41" s="29"/>
      <c r="I41" s="2"/>
    </row>
    <row r="42" spans="2:9" ht="15">
      <c r="B42" s="31">
        <v>40201</v>
      </c>
      <c r="C42" s="31"/>
      <c r="D42" s="31"/>
      <c r="E42" s="31"/>
      <c r="F42" s="31"/>
      <c r="G42" s="31"/>
      <c r="H42" s="31"/>
      <c r="I42" s="3"/>
    </row>
    <row r="43" spans="2:9" ht="15">
      <c r="B43" s="29" t="s">
        <v>36</v>
      </c>
      <c r="C43" s="29"/>
      <c r="D43" s="29"/>
      <c r="E43" s="29"/>
      <c r="F43" s="29"/>
      <c r="G43" s="29"/>
      <c r="H43" s="29"/>
      <c r="I43" s="2"/>
    </row>
    <row r="44" spans="2:8" ht="12.75">
      <c r="B44" s="18" t="s">
        <v>2</v>
      </c>
      <c r="C44" s="19" t="s">
        <v>3</v>
      </c>
      <c r="D44" s="19" t="s">
        <v>4</v>
      </c>
      <c r="E44" s="19" t="s">
        <v>5</v>
      </c>
      <c r="F44" s="19" t="s">
        <v>6</v>
      </c>
      <c r="G44" s="19" t="s">
        <v>7</v>
      </c>
      <c r="H44" s="20" t="s">
        <v>8</v>
      </c>
    </row>
    <row r="45" spans="1:8" ht="12" customHeight="1">
      <c r="A45" s="7">
        <v>1</v>
      </c>
      <c r="B45" s="8" t="s">
        <v>28</v>
      </c>
      <c r="C45" s="8">
        <f>192+269+179+265+209</f>
        <v>1114</v>
      </c>
      <c r="D45" s="8">
        <f>202+247+219+185+256</f>
        <v>1109</v>
      </c>
      <c r="E45" s="8">
        <f>244+196+170+277+216</f>
        <v>1103</v>
      </c>
      <c r="F45" s="8">
        <f>204+209</f>
        <v>413</v>
      </c>
      <c r="G45" s="8">
        <f>215+185</f>
        <v>400</v>
      </c>
      <c r="H45" s="8">
        <f aca="true" t="shared" si="1" ref="H45:H64">C45+D45+E45+F45+G45</f>
        <v>4139</v>
      </c>
    </row>
    <row r="46" spans="1:11" ht="15">
      <c r="A46" s="7">
        <v>2</v>
      </c>
      <c r="B46" s="8" t="s">
        <v>16</v>
      </c>
      <c r="C46" s="8">
        <f>174+174+215+175+117</f>
        <v>855</v>
      </c>
      <c r="D46" s="8">
        <f>177+203+244+231+248</f>
        <v>1103</v>
      </c>
      <c r="E46" s="8">
        <f>279+208+200+256+247</f>
        <v>1190</v>
      </c>
      <c r="F46" s="8">
        <f>199+222</f>
        <v>421</v>
      </c>
      <c r="G46" s="8">
        <f>203+211</f>
        <v>414</v>
      </c>
      <c r="H46" s="8">
        <f t="shared" si="1"/>
        <v>3983</v>
      </c>
      <c r="K46" s="9" t="s">
        <v>37</v>
      </c>
    </row>
    <row r="47" spans="1:8" ht="12" customHeight="1">
      <c r="A47" s="7">
        <v>3</v>
      </c>
      <c r="B47" s="8" t="s">
        <v>12</v>
      </c>
      <c r="C47" s="8">
        <f>184+203+219+252+182</f>
        <v>1040</v>
      </c>
      <c r="D47" s="8">
        <f>200+159+223+167+225</f>
        <v>974</v>
      </c>
      <c r="E47" s="8">
        <f>236+146+203+247+161</f>
        <v>993</v>
      </c>
      <c r="F47" s="8">
        <f>187+241</f>
        <v>428</v>
      </c>
      <c r="G47" s="8">
        <f>213+209</f>
        <v>422</v>
      </c>
      <c r="H47" s="8">
        <f t="shared" si="1"/>
        <v>3857</v>
      </c>
    </row>
    <row r="48" spans="1:10" ht="15">
      <c r="A48" s="7">
        <v>4</v>
      </c>
      <c r="B48" s="8" t="s">
        <v>17</v>
      </c>
      <c r="C48" s="8">
        <f>191+208+187+214+168</f>
        <v>968</v>
      </c>
      <c r="D48" s="8">
        <f>190+213+191+261+175</f>
        <v>1030</v>
      </c>
      <c r="E48" s="8">
        <f>174+213+185+203+191</f>
        <v>966</v>
      </c>
      <c r="F48" s="8">
        <f>214+212</f>
        <v>426</v>
      </c>
      <c r="G48" s="8">
        <f>211+194</f>
        <v>405</v>
      </c>
      <c r="H48" s="8">
        <f t="shared" si="1"/>
        <v>3795</v>
      </c>
      <c r="J48" s="9" t="s">
        <v>38</v>
      </c>
    </row>
    <row r="49" spans="1:11" ht="12.75">
      <c r="A49" s="7">
        <v>5</v>
      </c>
      <c r="B49" s="8" t="s">
        <v>23</v>
      </c>
      <c r="C49" s="8">
        <f>185+237+225+190+198</f>
        <v>1035</v>
      </c>
      <c r="D49" s="8">
        <f>157+193+218+198+213</f>
        <v>979</v>
      </c>
      <c r="E49" s="8">
        <f>187+167+279+188+181</f>
        <v>1002</v>
      </c>
      <c r="F49" s="8">
        <f>242+172</f>
        <v>414</v>
      </c>
      <c r="G49" s="8">
        <f>190+157</f>
        <v>347</v>
      </c>
      <c r="H49" s="8">
        <f t="shared" si="1"/>
        <v>3777</v>
      </c>
      <c r="K49" s="15"/>
    </row>
    <row r="50" spans="1:11" ht="17.25">
      <c r="A50" s="7">
        <v>6</v>
      </c>
      <c r="B50" s="8" t="s">
        <v>25</v>
      </c>
      <c r="C50" s="8">
        <f>161+214+180+258+191</f>
        <v>1004</v>
      </c>
      <c r="D50" s="8">
        <f>200+214+197+171+158</f>
        <v>940</v>
      </c>
      <c r="E50" s="8">
        <f>176+194+202+191+140</f>
        <v>903</v>
      </c>
      <c r="F50" s="8">
        <f>279+208</f>
        <v>487</v>
      </c>
      <c r="G50" s="8">
        <f>144+256</f>
        <v>400</v>
      </c>
      <c r="H50" s="8">
        <f t="shared" si="1"/>
        <v>3734</v>
      </c>
      <c r="K50" s="33" t="s">
        <v>17</v>
      </c>
    </row>
    <row r="51" spans="1:8" ht="12" customHeight="1">
      <c r="A51" s="7">
        <v>7</v>
      </c>
      <c r="B51" s="8" t="s">
        <v>27</v>
      </c>
      <c r="C51" s="23">
        <f>200+175+183+194+183</f>
        <v>935</v>
      </c>
      <c r="D51" s="8">
        <f>216+171+191+172+153</f>
        <v>903</v>
      </c>
      <c r="E51" s="8">
        <f>233+217+214+227+213</f>
        <v>1104</v>
      </c>
      <c r="F51" s="8">
        <f>225+190</f>
        <v>415</v>
      </c>
      <c r="G51" s="8">
        <f>203+133</f>
        <v>336</v>
      </c>
      <c r="H51" s="8">
        <f t="shared" si="1"/>
        <v>3693</v>
      </c>
    </row>
    <row r="52" spans="1:12" ht="15">
      <c r="A52" s="7">
        <v>8</v>
      </c>
      <c r="B52" s="8" t="s">
        <v>41</v>
      </c>
      <c r="C52" s="8">
        <f>174+244+249+144+211</f>
        <v>1022</v>
      </c>
      <c r="D52" s="8">
        <f>215+191+180+193+242</f>
        <v>1021</v>
      </c>
      <c r="E52" s="8">
        <f>183+182+136+198+205</f>
        <v>904</v>
      </c>
      <c r="F52" s="8">
        <f>198+166</f>
        <v>364</v>
      </c>
      <c r="G52" s="8">
        <f>203+153</f>
        <v>356</v>
      </c>
      <c r="H52" s="8">
        <f t="shared" si="1"/>
        <v>3667</v>
      </c>
      <c r="J52" s="11" t="s">
        <v>39</v>
      </c>
      <c r="L52" s="9"/>
    </row>
    <row r="53" spans="1:8" ht="12" customHeight="1">
      <c r="A53" s="7">
        <v>9</v>
      </c>
      <c r="B53" s="8" t="s">
        <v>26</v>
      </c>
      <c r="C53" s="8">
        <f>233+172+239+256+170</f>
        <v>1070</v>
      </c>
      <c r="D53" s="8">
        <f>213+174+164+151+164</f>
        <v>866</v>
      </c>
      <c r="E53" s="8">
        <f>201+210+202+203+146</f>
        <v>962</v>
      </c>
      <c r="F53" s="8">
        <f>182+209</f>
        <v>391</v>
      </c>
      <c r="G53" s="8">
        <f>146+213</f>
        <v>359</v>
      </c>
      <c r="H53" s="8">
        <f t="shared" si="1"/>
        <v>3648</v>
      </c>
    </row>
    <row r="54" spans="1:12" ht="14.25" customHeight="1">
      <c r="A54" s="7">
        <v>10</v>
      </c>
      <c r="B54" s="8" t="s">
        <v>40</v>
      </c>
      <c r="C54" s="8">
        <f>205+173+158+189+186</f>
        <v>911</v>
      </c>
      <c r="D54" s="8">
        <f>236+181+174+196+207</f>
        <v>994</v>
      </c>
      <c r="E54" s="8">
        <f>208+172+207+133+223</f>
        <v>943</v>
      </c>
      <c r="F54" s="8">
        <f>181+212</f>
        <v>393</v>
      </c>
      <c r="G54" s="8">
        <f>217+182</f>
        <v>399</v>
      </c>
      <c r="H54" s="8">
        <f t="shared" si="1"/>
        <v>3640</v>
      </c>
      <c r="K54" s="28" t="s">
        <v>12</v>
      </c>
      <c r="L54" s="12"/>
    </row>
    <row r="55" spans="1:8" ht="12" customHeight="1">
      <c r="A55" s="7">
        <v>11</v>
      </c>
      <c r="B55" s="8" t="s">
        <v>19</v>
      </c>
      <c r="C55" s="8">
        <f>188+225+187+190+158</f>
        <v>948</v>
      </c>
      <c r="D55" s="8">
        <f>176+188+189+170+159</f>
        <v>882</v>
      </c>
      <c r="E55" s="8">
        <f>247+195+217+171+245</f>
        <v>1075</v>
      </c>
      <c r="F55" s="8">
        <f>131+187</f>
        <v>318</v>
      </c>
      <c r="G55" s="8">
        <f>149+224</f>
        <v>373</v>
      </c>
      <c r="H55" s="8">
        <f t="shared" si="1"/>
        <v>3596</v>
      </c>
    </row>
    <row r="56" spans="1:8" ht="12" customHeight="1">
      <c r="A56" s="7">
        <v>12</v>
      </c>
      <c r="B56" s="8" t="s">
        <v>22</v>
      </c>
      <c r="C56" s="8">
        <f>212+165+196+186+223</f>
        <v>982</v>
      </c>
      <c r="D56" s="8">
        <f>222+191+158+186+156</f>
        <v>913</v>
      </c>
      <c r="E56" s="8">
        <f>214+167+151+214+202</f>
        <v>948</v>
      </c>
      <c r="F56" s="8">
        <f>212+153</f>
        <v>365</v>
      </c>
      <c r="G56" s="8">
        <f>211+174</f>
        <v>385</v>
      </c>
      <c r="H56" s="8">
        <f t="shared" si="1"/>
        <v>3593</v>
      </c>
    </row>
    <row r="57" spans="1:8" ht="12" customHeight="1">
      <c r="A57" s="7">
        <v>13</v>
      </c>
      <c r="B57" s="8" t="s">
        <v>15</v>
      </c>
      <c r="C57" s="8">
        <f>163+211+204+156+173</f>
        <v>907</v>
      </c>
      <c r="D57" s="8">
        <f>190+206+138+204+116</f>
        <v>854</v>
      </c>
      <c r="E57" s="8">
        <f>178+211+195+193+201</f>
        <v>978</v>
      </c>
      <c r="F57" s="8">
        <f>205+201</f>
        <v>406</v>
      </c>
      <c r="G57" s="8">
        <f>200+225</f>
        <v>425</v>
      </c>
      <c r="H57" s="8">
        <f t="shared" si="1"/>
        <v>3570</v>
      </c>
    </row>
    <row r="58" spans="1:8" ht="12" customHeight="1">
      <c r="A58" s="7">
        <v>14</v>
      </c>
      <c r="B58" s="23" t="s">
        <v>48</v>
      </c>
      <c r="C58" s="8">
        <f>204+174+182+255+126</f>
        <v>941</v>
      </c>
      <c r="D58" s="8">
        <f>173+169+199+189+136</f>
        <v>866</v>
      </c>
      <c r="E58" s="8">
        <f>221+200+168+139+214</f>
        <v>942</v>
      </c>
      <c r="F58" s="8">
        <f>193+195</f>
        <v>388</v>
      </c>
      <c r="G58" s="8">
        <f>166+211</f>
        <v>377</v>
      </c>
      <c r="H58" s="8">
        <f t="shared" si="1"/>
        <v>3514</v>
      </c>
    </row>
    <row r="59" spans="1:8" ht="12" customHeight="1">
      <c r="A59" s="7">
        <v>15</v>
      </c>
      <c r="B59" s="8" t="s">
        <v>10</v>
      </c>
      <c r="C59" s="8">
        <f>138+190+164+164+205</f>
        <v>861</v>
      </c>
      <c r="D59" s="8">
        <f>178+120+197+165+237</f>
        <v>897</v>
      </c>
      <c r="E59" s="8">
        <f>182+154+177+188+245</f>
        <v>946</v>
      </c>
      <c r="F59" s="8">
        <f>242+149</f>
        <v>391</v>
      </c>
      <c r="G59" s="8">
        <f>189+186</f>
        <v>375</v>
      </c>
      <c r="H59" s="8">
        <f t="shared" si="1"/>
        <v>3470</v>
      </c>
    </row>
    <row r="60" spans="1:8" ht="12" customHeight="1">
      <c r="A60" s="7">
        <v>16</v>
      </c>
      <c r="B60" s="8" t="s">
        <v>13</v>
      </c>
      <c r="C60" s="8">
        <f>200+203+195+149+186</f>
        <v>933</v>
      </c>
      <c r="D60" s="8">
        <f>209+149+234+151+157</f>
        <v>900</v>
      </c>
      <c r="E60" s="8">
        <f>191+191+216+120+180</f>
        <v>898</v>
      </c>
      <c r="F60" s="8">
        <f>144+157</f>
        <v>301</v>
      </c>
      <c r="G60" s="8">
        <f>173+204</f>
        <v>377</v>
      </c>
      <c r="H60" s="8">
        <f t="shared" si="1"/>
        <v>3409</v>
      </c>
    </row>
    <row r="61" spans="1:8" ht="12" customHeight="1">
      <c r="A61" s="7">
        <v>17</v>
      </c>
      <c r="B61" s="8" t="s">
        <v>9</v>
      </c>
      <c r="C61" s="8">
        <f>203+151+159+233+216</f>
        <v>962</v>
      </c>
      <c r="D61" s="8">
        <f>169+165+154+124+154</f>
        <v>766</v>
      </c>
      <c r="E61" s="8">
        <f>156+151+176+157+233</f>
        <v>873</v>
      </c>
      <c r="F61" s="8">
        <f>203+166</f>
        <v>369</v>
      </c>
      <c r="G61" s="8">
        <f>209+203</f>
        <v>412</v>
      </c>
      <c r="H61" s="8">
        <f t="shared" si="1"/>
        <v>3382</v>
      </c>
    </row>
    <row r="62" spans="1:8" ht="12" customHeight="1">
      <c r="A62" s="7">
        <v>18</v>
      </c>
      <c r="B62" s="8" t="s">
        <v>21</v>
      </c>
      <c r="C62" s="8">
        <f>156+216+225+168+142</f>
        <v>907</v>
      </c>
      <c r="D62" s="8">
        <f>166+221+145+209+179</f>
        <v>920</v>
      </c>
      <c r="E62" s="8">
        <f>172+218+182+143+147</f>
        <v>862</v>
      </c>
      <c r="F62" s="8">
        <f>163+170</f>
        <v>333</v>
      </c>
      <c r="G62" s="8">
        <f>168+171</f>
        <v>339</v>
      </c>
      <c r="H62" s="8">
        <f t="shared" si="1"/>
        <v>3361</v>
      </c>
    </row>
    <row r="63" spans="1:8" ht="12" customHeight="1">
      <c r="A63" s="7">
        <v>19</v>
      </c>
      <c r="B63" s="8" t="s">
        <v>24</v>
      </c>
      <c r="C63" s="8">
        <f>234+189+142+153+180</f>
        <v>898</v>
      </c>
      <c r="D63" s="8">
        <f>159+157+171+179+188</f>
        <v>854</v>
      </c>
      <c r="E63" s="8">
        <f>178+170+198+225+156</f>
        <v>927</v>
      </c>
      <c r="F63" s="8">
        <f>186+183</f>
        <v>369</v>
      </c>
      <c r="G63" s="8">
        <f>163+136</f>
        <v>299</v>
      </c>
      <c r="H63" s="8">
        <f t="shared" si="1"/>
        <v>3347</v>
      </c>
    </row>
    <row r="64" spans="1:8" ht="12" customHeight="1">
      <c r="A64" s="7">
        <v>20</v>
      </c>
      <c r="B64" s="8" t="s">
        <v>42</v>
      </c>
      <c r="C64" s="8">
        <f>180+169+163+189+164</f>
        <v>865</v>
      </c>
      <c r="D64" s="8">
        <f>137+157+213+160+163</f>
        <v>830</v>
      </c>
      <c r="E64" s="8">
        <f>214+147+156+181+233</f>
        <v>931</v>
      </c>
      <c r="F64" s="8">
        <f>179+168</f>
        <v>347</v>
      </c>
      <c r="G64" s="8">
        <f>134+150</f>
        <v>284</v>
      </c>
      <c r="H64" s="8">
        <f t="shared" si="1"/>
        <v>3257</v>
      </c>
    </row>
    <row r="65" spans="1:8" ht="12.75">
      <c r="A65" s="13"/>
      <c r="B65" s="14"/>
      <c r="C65" s="14"/>
      <c r="D65" s="14"/>
      <c r="E65" s="14"/>
      <c r="F65" s="14"/>
      <c r="G65" s="14"/>
      <c r="H65" s="14"/>
    </row>
    <row r="66" spans="2:8" ht="15">
      <c r="B66" s="15" t="s">
        <v>43</v>
      </c>
      <c r="C66" s="16"/>
      <c r="D66" s="14"/>
      <c r="F66" s="15" t="s">
        <v>44</v>
      </c>
      <c r="G66" s="14"/>
      <c r="H66" s="14"/>
    </row>
    <row r="67" spans="2:8" ht="15">
      <c r="B67" s="24" t="s">
        <v>61</v>
      </c>
      <c r="C67" s="16"/>
      <c r="D67" s="14"/>
      <c r="F67" s="24" t="s">
        <v>63</v>
      </c>
      <c r="G67" s="14"/>
      <c r="H67" s="14"/>
    </row>
    <row r="68" spans="2:8" ht="12.75">
      <c r="B68" s="24" t="s">
        <v>60</v>
      </c>
      <c r="C68" s="14"/>
      <c r="D68" s="14"/>
      <c r="F68" s="24" t="s">
        <v>64</v>
      </c>
      <c r="G68" s="14"/>
      <c r="H68" s="14"/>
    </row>
    <row r="69" spans="2:8" ht="12.75">
      <c r="B69" s="24" t="s">
        <v>62</v>
      </c>
      <c r="C69" s="14"/>
      <c r="D69" s="14"/>
      <c r="F69" s="24" t="s">
        <v>65</v>
      </c>
      <c r="G69" s="14"/>
      <c r="H69" s="14"/>
    </row>
    <row r="71" spans="2:8" ht="12.75">
      <c r="B71" s="29" t="s">
        <v>45</v>
      </c>
      <c r="C71" s="29"/>
      <c r="D71" s="29"/>
      <c r="E71" s="29"/>
      <c r="F71" s="29"/>
      <c r="G71" s="29"/>
      <c r="H71" s="29"/>
    </row>
    <row r="72" spans="2:8" ht="12.75">
      <c r="B72" s="18" t="s">
        <v>2</v>
      </c>
      <c r="C72" s="19" t="s">
        <v>3</v>
      </c>
      <c r="D72" s="19" t="s">
        <v>4</v>
      </c>
      <c r="E72" s="19" t="s">
        <v>5</v>
      </c>
      <c r="F72" s="19" t="s">
        <v>6</v>
      </c>
      <c r="G72" s="19" t="s">
        <v>7</v>
      </c>
      <c r="H72" s="20" t="s">
        <v>8</v>
      </c>
    </row>
    <row r="73" spans="1:8" ht="12" customHeight="1">
      <c r="A73" s="7">
        <v>1</v>
      </c>
      <c r="B73" s="8" t="s">
        <v>17</v>
      </c>
      <c r="C73" s="8">
        <f>178+258+193+213+169</f>
        <v>1011</v>
      </c>
      <c r="D73" s="8">
        <f>226+213+207+245+150</f>
        <v>1041</v>
      </c>
      <c r="E73" s="8">
        <f>201+210+231+200+184</f>
        <v>1026</v>
      </c>
      <c r="F73" s="8">
        <f>213+162</f>
        <v>375</v>
      </c>
      <c r="G73" s="8">
        <f>182+206</f>
        <v>388</v>
      </c>
      <c r="H73" s="8">
        <f aca="true" t="shared" si="2" ref="H73:H80">C73+D73+E73+F73+G73</f>
        <v>3841</v>
      </c>
    </row>
    <row r="74" spans="1:10" ht="15">
      <c r="A74" s="7">
        <v>2</v>
      </c>
      <c r="B74" s="23" t="s">
        <v>27</v>
      </c>
      <c r="C74" s="8">
        <f>224+210+171+177+181</f>
        <v>963</v>
      </c>
      <c r="D74" s="8">
        <f>149+213+117+132+182</f>
        <v>793</v>
      </c>
      <c r="E74" s="8">
        <f>172+246+188+199+179</f>
        <v>984</v>
      </c>
      <c r="F74" s="8">
        <f>178+173</f>
        <v>351</v>
      </c>
      <c r="G74" s="8">
        <v>384</v>
      </c>
      <c r="H74" s="8">
        <f t="shared" si="2"/>
        <v>3475</v>
      </c>
      <c r="J74" s="9" t="s">
        <v>46</v>
      </c>
    </row>
    <row r="75" spans="1:8" ht="12" customHeight="1">
      <c r="A75" s="7">
        <v>3</v>
      </c>
      <c r="B75" s="8" t="s">
        <v>16</v>
      </c>
      <c r="C75" s="8">
        <f>200+187+144+142+177</f>
        <v>850</v>
      </c>
      <c r="D75" s="8">
        <f>151+159+225+178+214</f>
        <v>927</v>
      </c>
      <c r="E75" s="8">
        <f>161+178+164+153+289</f>
        <v>945</v>
      </c>
      <c r="F75" s="8">
        <f>245+133</f>
        <v>378</v>
      </c>
      <c r="G75" s="8">
        <f>178+188</f>
        <v>366</v>
      </c>
      <c r="H75" s="8">
        <f t="shared" si="2"/>
        <v>3466</v>
      </c>
    </row>
    <row r="76" spans="1:11" ht="15">
      <c r="A76" s="7">
        <v>4</v>
      </c>
      <c r="B76" s="8" t="s">
        <v>22</v>
      </c>
      <c r="C76" s="8">
        <f>182+181+204+170+148</f>
        <v>885</v>
      </c>
      <c r="D76" s="8">
        <f>164+150+207+201+133</f>
        <v>855</v>
      </c>
      <c r="E76" s="8">
        <f>192+202+186+201+136</f>
        <v>917</v>
      </c>
      <c r="F76" s="8">
        <f>210+195</f>
        <v>405</v>
      </c>
      <c r="G76" s="8">
        <f>180+170</f>
        <v>350</v>
      </c>
      <c r="H76" s="8">
        <f t="shared" si="2"/>
        <v>3412</v>
      </c>
      <c r="K76" s="27" t="s">
        <v>17</v>
      </c>
    </row>
    <row r="77" spans="1:8" ht="12" customHeight="1">
      <c r="A77" s="7">
        <v>5</v>
      </c>
      <c r="B77" s="8" t="s">
        <v>12</v>
      </c>
      <c r="C77" s="8">
        <f>173+172+184+237+185</f>
        <v>951</v>
      </c>
      <c r="D77" s="8">
        <f>149+173+161+173+146</f>
        <v>802</v>
      </c>
      <c r="E77" s="8">
        <f>170+147+198+206+179</f>
        <v>900</v>
      </c>
      <c r="F77" s="8">
        <f>193+134</f>
        <v>327</v>
      </c>
      <c r="G77" s="8">
        <f>201+167</f>
        <v>368</v>
      </c>
      <c r="H77" s="8">
        <f t="shared" si="2"/>
        <v>3348</v>
      </c>
    </row>
    <row r="78" spans="1:14" ht="13.5" customHeight="1">
      <c r="A78" s="7">
        <v>6</v>
      </c>
      <c r="B78" s="8" t="s">
        <v>23</v>
      </c>
      <c r="C78" s="8">
        <f>146+144+124+162+163</f>
        <v>739</v>
      </c>
      <c r="D78" s="8">
        <f>132+172+168+167+190</f>
        <v>829</v>
      </c>
      <c r="E78" s="8">
        <f>133+118+150+171+220</f>
        <v>792</v>
      </c>
      <c r="F78" s="8">
        <f>177+197</f>
        <v>374</v>
      </c>
      <c r="G78" s="8">
        <f>171+176</f>
        <v>347</v>
      </c>
      <c r="H78" s="8">
        <f t="shared" si="2"/>
        <v>3081</v>
      </c>
      <c r="J78" s="30"/>
      <c r="K78" s="30"/>
      <c r="L78" s="30"/>
      <c r="M78" s="30"/>
      <c r="N78" s="30"/>
    </row>
    <row r="79" spans="1:14" ht="16.5" customHeight="1">
      <c r="A79" s="7">
        <v>7</v>
      </c>
      <c r="B79" s="8" t="s">
        <v>13</v>
      </c>
      <c r="C79" s="8">
        <f>150+127+145+165+144</f>
        <v>731</v>
      </c>
      <c r="D79" s="8">
        <f>133+146+167+177+204</f>
        <v>827</v>
      </c>
      <c r="E79" s="8">
        <f>181+125+155+158+181</f>
        <v>800</v>
      </c>
      <c r="F79" s="8">
        <f>177+132</f>
        <v>309</v>
      </c>
      <c r="G79" s="8">
        <f>157+149</f>
        <v>306</v>
      </c>
      <c r="H79" s="8">
        <f t="shared" si="2"/>
        <v>2973</v>
      </c>
      <c r="J79" s="22"/>
      <c r="K79" s="22"/>
      <c r="L79" s="22"/>
      <c r="M79" s="22"/>
      <c r="N79" s="22"/>
    </row>
    <row r="80" spans="1:8" ht="12" customHeight="1">
      <c r="A80" s="7">
        <v>8</v>
      </c>
      <c r="B80" s="8" t="s">
        <v>21</v>
      </c>
      <c r="C80" s="8">
        <f>134+120+131+235+127</f>
        <v>747</v>
      </c>
      <c r="D80" s="8">
        <f>100+134+152+183+158</f>
        <v>727</v>
      </c>
      <c r="E80" s="8">
        <f>177+125+126+158+132</f>
        <v>718</v>
      </c>
      <c r="F80" s="8">
        <f>104+136</f>
        <v>240</v>
      </c>
      <c r="G80" s="8">
        <f>99+149</f>
        <v>248</v>
      </c>
      <c r="H80" s="8">
        <f t="shared" si="2"/>
        <v>2680</v>
      </c>
    </row>
    <row r="81" ht="12" customHeight="1">
      <c r="A81"/>
    </row>
    <row r="82" spans="2:6" ht="15">
      <c r="B82" s="15" t="s">
        <v>33</v>
      </c>
      <c r="C82" s="21"/>
      <c r="F82" s="15" t="s">
        <v>47</v>
      </c>
    </row>
    <row r="83" spans="2:6" ht="12.75">
      <c r="B83" s="14" t="s">
        <v>52</v>
      </c>
      <c r="F83" s="14" t="s">
        <v>53</v>
      </c>
    </row>
    <row r="84" ht="12.75">
      <c r="B84" s="18"/>
    </row>
    <row r="85" ht="12.75">
      <c r="B85" s="18"/>
    </row>
  </sheetData>
  <sheetProtection/>
  <mergeCells count="10">
    <mergeCell ref="B1:H1"/>
    <mergeCell ref="B2:H2"/>
    <mergeCell ref="B3:H3"/>
    <mergeCell ref="J10:N10"/>
    <mergeCell ref="B71:H71"/>
    <mergeCell ref="J78:N78"/>
    <mergeCell ref="B29:H29"/>
    <mergeCell ref="B41:H41"/>
    <mergeCell ref="B42:H42"/>
    <mergeCell ref="B43:H43"/>
  </mergeCells>
  <printOptions/>
  <pageMargins left="0.77" right="0.27" top="0.26" bottom="0.22" header="0.25" footer="0.19"/>
  <pageSetup fitToHeight="1" fitToWidth="1" horizontalDpi="300" verticalDpi="3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</cp:lastModifiedBy>
  <cp:lastPrinted>2010-01-24T22:16:24Z</cp:lastPrinted>
  <dcterms:created xsi:type="dcterms:W3CDTF">2010-01-23T15:06:09Z</dcterms:created>
  <dcterms:modified xsi:type="dcterms:W3CDTF">2010-01-24T22:17:06Z</dcterms:modified>
  <cp:category/>
  <cp:version/>
  <cp:contentType/>
  <cp:contentStatus/>
</cp:coreProperties>
</file>