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208" windowHeight="5940" activeTab="0"/>
  </bookViews>
  <sheets>
    <sheet name="Team Results - 20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<sst xmlns="http://schemas.openxmlformats.org/spreadsheetml/2006/main" count="139" uniqueCount="68">
  <si>
    <t>GIRLS DIVISION</t>
  </si>
  <si>
    <t>SCHOOL</t>
  </si>
  <si>
    <t>Gm 1</t>
  </si>
  <si>
    <t>Gm 2</t>
  </si>
  <si>
    <t>Gm 3</t>
  </si>
  <si>
    <t>Baker 1</t>
  </si>
  <si>
    <t>Baker 2</t>
  </si>
  <si>
    <t>Totals</t>
  </si>
  <si>
    <t>ANNAPOLIS</t>
  </si>
  <si>
    <t>BELLEVILLE</t>
  </si>
  <si>
    <t>VARSITY GIRLS</t>
  </si>
  <si>
    <t>CANTON</t>
  </si>
  <si>
    <t>CRESTWOOD</t>
  </si>
  <si>
    <t>DIVINE CHILD</t>
  </si>
  <si>
    <t>FLAT ROCK</t>
  </si>
  <si>
    <t>JOHN GLENN</t>
  </si>
  <si>
    <t xml:space="preserve">RUNNER UP: </t>
  </si>
  <si>
    <t>KENNEDY</t>
  </si>
  <si>
    <t>LADYWOOD</t>
  </si>
  <si>
    <t>NORTHVILLE</t>
  </si>
  <si>
    <t>PLYMOUTH</t>
  </si>
  <si>
    <t>SALEM</t>
  </si>
  <si>
    <t>TRUMAN</t>
  </si>
  <si>
    <t>WAYNE MEMORIAL</t>
  </si>
  <si>
    <t>WOODHAVEN</t>
  </si>
  <si>
    <t>JV GIRLS DIVISION</t>
  </si>
  <si>
    <t>High Game</t>
  </si>
  <si>
    <t xml:space="preserve">RUNNER UP:  </t>
  </si>
  <si>
    <t>JV BOYS DIVISION</t>
  </si>
  <si>
    <t>High Series</t>
  </si>
  <si>
    <t xml:space="preserve">JV BOYS  </t>
  </si>
  <si>
    <t xml:space="preserve">JV GIRLS </t>
  </si>
  <si>
    <t>TOURNAMENT CHAMPIONS:</t>
  </si>
  <si>
    <t>VARSITY BOYS</t>
  </si>
  <si>
    <t>GABRIEL RICHARD</t>
  </si>
  <si>
    <t>HURON</t>
  </si>
  <si>
    <t>SOUTHGATE</t>
  </si>
  <si>
    <t>U OF D JESUIT</t>
  </si>
  <si>
    <t>ROMULUS</t>
  </si>
  <si>
    <r>
      <t>High Series</t>
    </r>
    <r>
      <rPr>
        <b/>
        <sz val="12"/>
        <rFont val="Arial"/>
        <family val="2"/>
      </rPr>
      <t xml:space="preserve"> </t>
    </r>
  </si>
  <si>
    <t>8TH ANNUAL WAYNE COUNTY TOURNAMENT</t>
  </si>
  <si>
    <t>WYANDOTTE</t>
  </si>
  <si>
    <t>HURON - A</t>
  </si>
  <si>
    <t>HURON - B</t>
  </si>
  <si>
    <t>1/19/2013 - VARSITY BOYS</t>
  </si>
  <si>
    <t>Steve Cadwell</t>
  </si>
  <si>
    <t>Salem</t>
  </si>
  <si>
    <t>Coleman Kirk</t>
  </si>
  <si>
    <t>Kennedy</t>
  </si>
  <si>
    <t>Kevin Williams</t>
  </si>
  <si>
    <t>Steve White</t>
  </si>
  <si>
    <t>John Glenn</t>
  </si>
  <si>
    <t>Tony Leo</t>
  </si>
  <si>
    <t>Huron</t>
  </si>
  <si>
    <t>Jimmy Bowling</t>
  </si>
  <si>
    <t>Kyran Bennett</t>
  </si>
  <si>
    <t xml:space="preserve">Huron </t>
  </si>
  <si>
    <t>Brianna Pischke</t>
  </si>
  <si>
    <t>Keeli Winquist       Canton      357</t>
  </si>
  <si>
    <t>Tanishia Townsend</t>
  </si>
  <si>
    <t>Belleville</t>
  </si>
  <si>
    <t>Julia Huren</t>
  </si>
  <si>
    <t>Angela Rodriguea</t>
  </si>
  <si>
    <t>Southgate</t>
  </si>
  <si>
    <t>Caitlyn Webb</t>
  </si>
  <si>
    <t>Plymouth</t>
  </si>
  <si>
    <t>Canton</t>
  </si>
  <si>
    <t>Huron -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</si>
</sst>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58">
      <selection activeCell="I79" sqref="I79"/>
    </sheetView>
  </sheetViews>
  <sheetFormatPr defaultColWidth="9.140625" defaultRowHeight="12.75"/>
  <cols>
    <col min="1" max="1" width="3.421875" style="1" customWidth="1"/>
    <col min="2" max="2" width="20.00390625" style="0" customWidth="1"/>
    <col min="3" max="8" width="8.7109375" style="0" customWidth="1"/>
    <col min="9" max="9" width="7.00390625" style="0" customWidth="1"/>
    <col min="10" max="10" width="11.421875" style="0" customWidth="1"/>
  </cols>
  <sheetData>
    <row r="1" spans="2:9" ht="15">
      <c r="B1" s="50" t="s">
        <v>40</v>
      </c>
      <c r="C1" s="50"/>
      <c r="D1" s="50"/>
      <c r="E1" s="50"/>
      <c r="F1" s="50"/>
      <c r="G1" s="50"/>
      <c r="H1" s="50"/>
      <c r="I1" s="2"/>
    </row>
    <row r="2" spans="2:9" ht="12.75" customHeight="1">
      <c r="B2" s="51">
        <v>41293</v>
      </c>
      <c r="C2" s="51"/>
      <c r="D2" s="51"/>
      <c r="E2" s="51"/>
      <c r="F2" s="51"/>
      <c r="G2" s="51"/>
      <c r="H2" s="51"/>
      <c r="I2" s="3"/>
    </row>
    <row r="3" spans="2:9" ht="12.75" customHeight="1">
      <c r="B3" s="47"/>
      <c r="C3" s="47"/>
      <c r="D3" s="47"/>
      <c r="E3" s="47"/>
      <c r="F3" s="47"/>
      <c r="G3" s="47"/>
      <c r="H3" s="47"/>
      <c r="I3" s="3"/>
    </row>
    <row r="4" spans="2:9" ht="13.5" customHeight="1">
      <c r="B4" s="50" t="s">
        <v>0</v>
      </c>
      <c r="C4" s="50"/>
      <c r="D4" s="50"/>
      <c r="E4" s="50"/>
      <c r="F4" s="50"/>
      <c r="G4" s="50"/>
      <c r="H4" s="50"/>
      <c r="I4" s="2"/>
    </row>
    <row r="5" spans="2:8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</row>
    <row r="6" spans="1:8" ht="15" customHeight="1">
      <c r="A6" s="7">
        <v>1</v>
      </c>
      <c r="B6" s="8" t="s">
        <v>15</v>
      </c>
      <c r="C6" s="8">
        <f>168+177+199+195+160</f>
        <v>899</v>
      </c>
      <c r="D6" s="8">
        <f>202+212+167+246+191</f>
        <v>1018</v>
      </c>
      <c r="E6" s="8">
        <f>170+202+202+142+154</f>
        <v>870</v>
      </c>
      <c r="F6" s="8">
        <f>163+166</f>
        <v>329</v>
      </c>
      <c r="G6" s="8">
        <f>169+143</f>
        <v>312</v>
      </c>
      <c r="H6" s="8">
        <f aca="true" t="shared" si="0" ref="H6:H23">SUM(C6:G6)</f>
        <v>3428</v>
      </c>
    </row>
    <row r="7" spans="1:11" ht="15" customHeight="1">
      <c r="A7" s="7">
        <v>2</v>
      </c>
      <c r="B7" s="19" t="s">
        <v>36</v>
      </c>
      <c r="C7" s="8">
        <f>235+124+127+204+188</f>
        <v>878</v>
      </c>
      <c r="D7" s="8">
        <f>241+151+170+167+83</f>
        <v>812</v>
      </c>
      <c r="E7" s="8">
        <f>176+122+192+170+206</f>
        <v>866</v>
      </c>
      <c r="F7" s="8">
        <f>198+170</f>
        <v>368</v>
      </c>
      <c r="G7" s="8">
        <f>184+179</f>
        <v>363</v>
      </c>
      <c r="H7" s="8">
        <f t="shared" si="0"/>
        <v>3287</v>
      </c>
      <c r="K7" s="26" t="s">
        <v>10</v>
      </c>
    </row>
    <row r="8" spans="1:10" ht="15" customHeight="1">
      <c r="A8" s="7">
        <v>3</v>
      </c>
      <c r="B8" s="8" t="s">
        <v>21</v>
      </c>
      <c r="C8" s="8">
        <f>144+180+185+184+112</f>
        <v>805</v>
      </c>
      <c r="D8" s="8">
        <f>126+188+202+144+213</f>
        <v>873</v>
      </c>
      <c r="E8" s="8">
        <f>203+157+159+153+215</f>
        <v>887</v>
      </c>
      <c r="F8" s="8">
        <f>162+164</f>
        <v>326</v>
      </c>
      <c r="G8" s="8">
        <f>211+161</f>
        <v>372</v>
      </c>
      <c r="H8" s="8">
        <f t="shared" si="0"/>
        <v>3263</v>
      </c>
      <c r="J8" s="9"/>
    </row>
    <row r="9" spans="1:11" ht="15" customHeight="1">
      <c r="A9" s="7">
        <v>4</v>
      </c>
      <c r="B9" s="8" t="s">
        <v>9</v>
      </c>
      <c r="C9" s="19">
        <f>130+140+279+160+143</f>
        <v>852</v>
      </c>
      <c r="D9" s="8">
        <f>168+156+157+164+159</f>
        <v>804</v>
      </c>
      <c r="E9" s="8">
        <f>231+149+183+138+168</f>
        <v>869</v>
      </c>
      <c r="F9" s="8">
        <f>149+155</f>
        <v>304</v>
      </c>
      <c r="G9" s="8">
        <f>178+204</f>
        <v>382</v>
      </c>
      <c r="H9" s="8">
        <f t="shared" si="0"/>
        <v>3211</v>
      </c>
      <c r="K9" s="24" t="s">
        <v>32</v>
      </c>
    </row>
    <row r="10" spans="1:8" ht="15" customHeight="1">
      <c r="A10" s="7">
        <v>5</v>
      </c>
      <c r="B10" s="8" t="s">
        <v>17</v>
      </c>
      <c r="C10" s="8">
        <f>146+173+147+198+182</f>
        <v>846</v>
      </c>
      <c r="D10" s="8">
        <f>157+179+195+99+154</f>
        <v>784</v>
      </c>
      <c r="E10" s="8">
        <f>193+159+204+193+158</f>
        <v>907</v>
      </c>
      <c r="F10" s="8">
        <f>145+179</f>
        <v>324</v>
      </c>
      <c r="G10" s="8">
        <f>168+172</f>
        <v>340</v>
      </c>
      <c r="H10" s="8">
        <f t="shared" si="0"/>
        <v>3201</v>
      </c>
    </row>
    <row r="11" spans="1:15" ht="17.25" customHeight="1">
      <c r="A11" s="7">
        <v>6</v>
      </c>
      <c r="B11" s="8" t="s">
        <v>14</v>
      </c>
      <c r="C11" s="30">
        <f>159+221+120+179+116</f>
        <v>795</v>
      </c>
      <c r="D11" s="8">
        <f>188+175+148+190+149</f>
        <v>850</v>
      </c>
      <c r="E11" s="8">
        <f>225+191+168+180+115</f>
        <v>879</v>
      </c>
      <c r="F11" s="8">
        <f>137+133</f>
        <v>270</v>
      </c>
      <c r="G11" s="8">
        <f>135+181</f>
        <v>316</v>
      </c>
      <c r="H11" s="8">
        <f t="shared" si="0"/>
        <v>3110</v>
      </c>
      <c r="K11" s="48" t="s">
        <v>46</v>
      </c>
      <c r="O11" s="10"/>
    </row>
    <row r="12" spans="1:8" ht="15" customHeight="1">
      <c r="A12" s="7">
        <v>7</v>
      </c>
      <c r="B12" s="8" t="s">
        <v>20</v>
      </c>
      <c r="C12" s="8">
        <f>157+110+215+127+121</f>
        <v>730</v>
      </c>
      <c r="D12" s="8">
        <f>189+181+99+173+154</f>
        <v>796</v>
      </c>
      <c r="E12" s="8">
        <f>159+227+237+140+99</f>
        <v>862</v>
      </c>
      <c r="F12" s="8">
        <f>148+204</f>
        <v>352</v>
      </c>
      <c r="G12" s="8">
        <f>199+159</f>
        <v>358</v>
      </c>
      <c r="H12" s="8">
        <f t="shared" si="0"/>
        <v>3098</v>
      </c>
    </row>
    <row r="13" spans="1:12" ht="15" customHeight="1">
      <c r="A13" s="7">
        <v>8</v>
      </c>
      <c r="B13" s="8" t="s">
        <v>23</v>
      </c>
      <c r="C13" s="8">
        <f>128+170+158+128+177</f>
        <v>761</v>
      </c>
      <c r="D13" s="8">
        <f>168+137+194+121+131</f>
        <v>751</v>
      </c>
      <c r="E13" s="8">
        <f>148+146+191+148+184</f>
        <v>817</v>
      </c>
      <c r="F13" s="8">
        <f>198+98</f>
        <v>296</v>
      </c>
      <c r="G13" s="8">
        <f>161+160</f>
        <v>321</v>
      </c>
      <c r="H13" s="8">
        <f t="shared" si="0"/>
        <v>2946</v>
      </c>
      <c r="J13" s="9" t="s">
        <v>16</v>
      </c>
      <c r="L13" s="24"/>
    </row>
    <row r="14" spans="1:8" ht="15" customHeight="1">
      <c r="A14" s="7">
        <v>9</v>
      </c>
      <c r="B14" s="8" t="s">
        <v>12</v>
      </c>
      <c r="C14" s="8">
        <f>126+172+120+158+188</f>
        <v>764</v>
      </c>
      <c r="D14" s="8">
        <f>153+140+155+119+182</f>
        <v>749</v>
      </c>
      <c r="E14" s="8">
        <f>127+208+124+147+183</f>
        <v>789</v>
      </c>
      <c r="F14" s="8">
        <f>157+126</f>
        <v>283</v>
      </c>
      <c r="G14" s="8">
        <f>122+160</f>
        <v>282</v>
      </c>
      <c r="H14" s="8">
        <f t="shared" si="0"/>
        <v>2867</v>
      </c>
    </row>
    <row r="15" spans="1:11" ht="15" customHeight="1">
      <c r="A15" s="7">
        <v>10</v>
      </c>
      <c r="B15" s="19" t="s">
        <v>35</v>
      </c>
      <c r="C15" s="8">
        <f>148+173+146+104+128</f>
        <v>699</v>
      </c>
      <c r="D15" s="19">
        <f>113+172+191+179+129</f>
        <v>784</v>
      </c>
      <c r="E15" s="8">
        <f>127+138+152+157+116</f>
        <v>690</v>
      </c>
      <c r="F15" s="8">
        <f>149+220</f>
        <v>369</v>
      </c>
      <c r="G15" s="8">
        <f>138+148</f>
        <v>286</v>
      </c>
      <c r="H15" s="8">
        <f t="shared" si="0"/>
        <v>2828</v>
      </c>
      <c r="K15" s="9" t="s">
        <v>51</v>
      </c>
    </row>
    <row r="16" spans="1:8" ht="15" customHeight="1">
      <c r="A16" s="7">
        <v>11</v>
      </c>
      <c r="B16" s="8" t="s">
        <v>11</v>
      </c>
      <c r="C16" s="8">
        <f>139+170+149+133+111</f>
        <v>702</v>
      </c>
      <c r="D16" s="8">
        <f>167+160+163+123+175</f>
        <v>788</v>
      </c>
      <c r="E16" s="8">
        <f>168+210+140+171+116</f>
        <v>805</v>
      </c>
      <c r="F16" s="8">
        <f>150+128</f>
        <v>278</v>
      </c>
      <c r="G16" s="8">
        <f>127+124</f>
        <v>251</v>
      </c>
      <c r="H16" s="8">
        <f t="shared" si="0"/>
        <v>2824</v>
      </c>
    </row>
    <row r="17" spans="1:8" ht="15" customHeight="1">
      <c r="A17" s="7">
        <v>12</v>
      </c>
      <c r="B17" s="8" t="s">
        <v>19</v>
      </c>
      <c r="C17" s="30">
        <f>133+225+126+158+129</f>
        <v>771</v>
      </c>
      <c r="D17" s="8">
        <f>151+182+104+170+93</f>
        <v>700</v>
      </c>
      <c r="E17" s="8">
        <f>147+172+144+148+124</f>
        <v>735</v>
      </c>
      <c r="F17" s="8">
        <f>194+138</f>
        <v>332</v>
      </c>
      <c r="G17" s="8">
        <f>165+121</f>
        <v>286</v>
      </c>
      <c r="H17" s="8">
        <f t="shared" si="0"/>
        <v>2824</v>
      </c>
    </row>
    <row r="18" spans="1:8" ht="15" customHeight="1">
      <c r="A18" s="7">
        <v>13</v>
      </c>
      <c r="B18" s="19" t="s">
        <v>38</v>
      </c>
      <c r="C18" s="8">
        <f>104+172+158+127+173</f>
        <v>734</v>
      </c>
      <c r="D18" s="8">
        <f>149+148+149+136+172</f>
        <v>754</v>
      </c>
      <c r="E18" s="8">
        <f>163+151+119+119+100</f>
        <v>652</v>
      </c>
      <c r="F18" s="8">
        <f>169+182</f>
        <v>351</v>
      </c>
      <c r="G18" s="8">
        <f>146+156</f>
        <v>302</v>
      </c>
      <c r="H18" s="8">
        <f t="shared" si="0"/>
        <v>2793</v>
      </c>
    </row>
    <row r="19" spans="1:8" ht="15" customHeight="1">
      <c r="A19" s="7">
        <v>14</v>
      </c>
      <c r="B19" s="8" t="s">
        <v>18</v>
      </c>
      <c r="C19" s="8">
        <f>123+147+114+162+160</f>
        <v>706</v>
      </c>
      <c r="D19" s="8">
        <f>140+126+133+190+182</f>
        <v>771</v>
      </c>
      <c r="E19" s="8">
        <f>111+158+131+147+165</f>
        <v>712</v>
      </c>
      <c r="F19" s="8">
        <f>137+129</f>
        <v>266</v>
      </c>
      <c r="G19" s="8">
        <f>135+143</f>
        <v>278</v>
      </c>
      <c r="H19" s="8">
        <f t="shared" si="0"/>
        <v>2733</v>
      </c>
    </row>
    <row r="20" spans="1:8" ht="12.75">
      <c r="A20" s="7">
        <v>15</v>
      </c>
      <c r="B20" s="8" t="s">
        <v>24</v>
      </c>
      <c r="C20" s="8">
        <f>99+130+105+176+141</f>
        <v>651</v>
      </c>
      <c r="D20" s="19">
        <f>84+190+155+96+132</f>
        <v>657</v>
      </c>
      <c r="E20" s="19">
        <f>112+177+94+199+140</f>
        <v>722</v>
      </c>
      <c r="F20" s="8">
        <f>135+143</f>
        <v>278</v>
      </c>
      <c r="G20" s="8">
        <f>125+102</f>
        <v>227</v>
      </c>
      <c r="H20" s="8">
        <f t="shared" si="0"/>
        <v>2535</v>
      </c>
    </row>
    <row r="21" spans="1:8" ht="15" customHeight="1">
      <c r="A21" s="7">
        <v>16</v>
      </c>
      <c r="B21" s="8" t="s">
        <v>8</v>
      </c>
      <c r="C21" s="8">
        <f>138+125+122+173+121</f>
        <v>679</v>
      </c>
      <c r="D21" s="8">
        <f>124+149+93+111+166</f>
        <v>643</v>
      </c>
      <c r="E21" s="8">
        <f>132+132+109+184+140</f>
        <v>697</v>
      </c>
      <c r="F21" s="8">
        <f>121+124</f>
        <v>245</v>
      </c>
      <c r="G21" s="8">
        <f>149+104</f>
        <v>253</v>
      </c>
      <c r="H21" s="8">
        <f>SUM(C21:G21)</f>
        <v>2517</v>
      </c>
    </row>
    <row r="22" spans="1:8" ht="15.75" customHeight="1">
      <c r="A22" s="7">
        <v>17</v>
      </c>
      <c r="B22" s="8" t="s">
        <v>13</v>
      </c>
      <c r="C22" s="19">
        <f>114+113+112+97+80</f>
        <v>516</v>
      </c>
      <c r="D22" s="19">
        <f>171+136+108+151+91</f>
        <v>657</v>
      </c>
      <c r="E22" s="8">
        <f>128+158+115+115+76</f>
        <v>592</v>
      </c>
      <c r="F22" s="8">
        <f>119+136</f>
        <v>255</v>
      </c>
      <c r="G22" s="8">
        <f>114+170</f>
        <v>284</v>
      </c>
      <c r="H22" s="8">
        <f t="shared" si="0"/>
        <v>2304</v>
      </c>
    </row>
    <row r="23" spans="1:10" ht="12.75" customHeight="1">
      <c r="A23" s="7">
        <v>18</v>
      </c>
      <c r="B23" s="8" t="s">
        <v>22</v>
      </c>
      <c r="C23" s="8">
        <f>89+129+159+113+77</f>
        <v>567</v>
      </c>
      <c r="D23" s="8">
        <f>65+128+179+109+127</f>
        <v>608</v>
      </c>
      <c r="E23" s="8">
        <f>106+148+204+88+106</f>
        <v>652</v>
      </c>
      <c r="F23" s="8">
        <f>123+151</f>
        <v>274</v>
      </c>
      <c r="G23" s="8">
        <f>107+88</f>
        <v>195</v>
      </c>
      <c r="H23" s="8">
        <f t="shared" si="0"/>
        <v>2296</v>
      </c>
      <c r="J23" s="22"/>
    </row>
    <row r="24" spans="1:10" ht="12.75" customHeight="1">
      <c r="A24" s="11"/>
      <c r="B24" s="13" t="s">
        <v>26</v>
      </c>
      <c r="C24" s="18"/>
      <c r="F24" s="13"/>
      <c r="G24" s="15" t="s">
        <v>29</v>
      </c>
      <c r="J24" s="22"/>
    </row>
    <row r="25" spans="1:10" ht="12.75" customHeight="1">
      <c r="A25" s="11"/>
      <c r="B25" s="31" t="s">
        <v>59</v>
      </c>
      <c r="C25" s="12" t="s">
        <v>60</v>
      </c>
      <c r="D25" s="28">
        <v>279</v>
      </c>
      <c r="E25" s="28"/>
      <c r="F25" s="31" t="s">
        <v>62</v>
      </c>
      <c r="H25" s="35" t="s">
        <v>63</v>
      </c>
      <c r="I25">
        <v>652</v>
      </c>
      <c r="J25" s="12"/>
    </row>
    <row r="26" spans="1:10" ht="12.75" customHeight="1">
      <c r="A26" s="11"/>
      <c r="B26" s="20" t="s">
        <v>61</v>
      </c>
      <c r="C26" s="36" t="s">
        <v>51</v>
      </c>
      <c r="D26" s="28">
        <v>246</v>
      </c>
      <c r="E26" s="28"/>
      <c r="F26" s="20" t="s">
        <v>61</v>
      </c>
      <c r="H26" s="36" t="s">
        <v>51</v>
      </c>
      <c r="I26">
        <v>643</v>
      </c>
      <c r="J26" s="22"/>
    </row>
    <row r="27" spans="1:10" ht="12.75" customHeight="1">
      <c r="A27" s="11"/>
      <c r="B27" s="31" t="s">
        <v>62</v>
      </c>
      <c r="C27" s="35" t="s">
        <v>63</v>
      </c>
      <c r="D27" s="28">
        <v>241</v>
      </c>
      <c r="E27" s="28"/>
      <c r="F27" s="12" t="s">
        <v>64</v>
      </c>
      <c r="G27" s="20"/>
      <c r="H27" s="12" t="s">
        <v>65</v>
      </c>
      <c r="I27">
        <v>633</v>
      </c>
      <c r="J27" s="22"/>
    </row>
    <row r="28" spans="2:10" ht="12.75" customHeight="1">
      <c r="B28" s="20"/>
      <c r="C28" s="22"/>
      <c r="G28" s="20"/>
      <c r="H28" s="14"/>
      <c r="J28" s="12"/>
    </row>
    <row r="29" spans="3:10" ht="12.75" customHeight="1">
      <c r="C29" s="14"/>
      <c r="H29" s="14"/>
      <c r="J29" s="1"/>
    </row>
    <row r="30" spans="2:8" ht="13.5" customHeight="1">
      <c r="B30" s="50" t="s">
        <v>25</v>
      </c>
      <c r="C30" s="50"/>
      <c r="D30" s="50"/>
      <c r="E30" s="50"/>
      <c r="F30" s="50"/>
      <c r="G30" s="50"/>
      <c r="H30" s="50"/>
    </row>
    <row r="31" spans="2:11" ht="13.5" customHeight="1">
      <c r="B31" s="15" t="s">
        <v>1</v>
      </c>
      <c r="C31" s="16" t="s">
        <v>2</v>
      </c>
      <c r="D31" s="16" t="s">
        <v>3</v>
      </c>
      <c r="E31" s="16" t="s">
        <v>4</v>
      </c>
      <c r="F31" s="16" t="s">
        <v>5</v>
      </c>
      <c r="G31" s="16" t="s">
        <v>6</v>
      </c>
      <c r="H31" s="17" t="s">
        <v>7</v>
      </c>
      <c r="K31" s="26" t="s">
        <v>31</v>
      </c>
    </row>
    <row r="32" spans="1:8" ht="12.75" customHeight="1">
      <c r="A32" s="7">
        <v>1</v>
      </c>
      <c r="B32" s="19" t="s">
        <v>35</v>
      </c>
      <c r="C32" s="8">
        <f>94+107+105+113+85</f>
        <v>504</v>
      </c>
      <c r="D32" s="8">
        <f>103+94+142+121+107</f>
        <v>567</v>
      </c>
      <c r="E32" s="8">
        <f>95+81+94+114+108</f>
        <v>492</v>
      </c>
      <c r="F32" s="8">
        <f>140+119</f>
        <v>259</v>
      </c>
      <c r="G32" s="8">
        <f>99+117</f>
        <v>216</v>
      </c>
      <c r="H32" s="8">
        <f>SUM(C32:G32)</f>
        <v>2038</v>
      </c>
    </row>
    <row r="33" spans="1:10" ht="15" customHeight="1">
      <c r="A33" s="7">
        <v>2</v>
      </c>
      <c r="B33" s="19" t="s">
        <v>11</v>
      </c>
      <c r="C33" s="8">
        <f>101+69+136+113+67</f>
        <v>486</v>
      </c>
      <c r="D33" s="8">
        <f>113+104+119+98+99</f>
        <v>533</v>
      </c>
      <c r="E33" s="8">
        <f>103+104+102+80+61</f>
        <v>450</v>
      </c>
      <c r="F33" s="8">
        <f>164+116</f>
        <v>280</v>
      </c>
      <c r="G33" s="8">
        <f>128+130</f>
        <v>258</v>
      </c>
      <c r="H33" s="8">
        <f>SUM(C33:G33)</f>
        <v>2007</v>
      </c>
      <c r="J33" s="9" t="s">
        <v>32</v>
      </c>
    </row>
    <row r="34" spans="1:12" ht="15" customHeight="1">
      <c r="A34" s="11"/>
      <c r="K34" s="34"/>
      <c r="L34" s="23"/>
    </row>
    <row r="35" spans="1:11" ht="15" customHeight="1">
      <c r="A35" s="11"/>
      <c r="B35" s="15" t="s">
        <v>26</v>
      </c>
      <c r="C35" s="18"/>
      <c r="F35" s="15" t="s">
        <v>39</v>
      </c>
      <c r="H35" s="12"/>
      <c r="K35" s="9" t="s">
        <v>53</v>
      </c>
    </row>
    <row r="36" spans="1:10" ht="15" customHeight="1">
      <c r="A36" s="11"/>
      <c r="B36" s="20" t="s">
        <v>57</v>
      </c>
      <c r="C36" s="21" t="s">
        <v>53</v>
      </c>
      <c r="D36" s="21">
        <v>142</v>
      </c>
      <c r="F36" s="21" t="s">
        <v>58</v>
      </c>
      <c r="G36" s="21"/>
      <c r="H36" s="12"/>
      <c r="J36" s="21"/>
    </row>
    <row r="37" spans="1:10" ht="15" customHeight="1">
      <c r="A37" s="11"/>
      <c r="B37" s="31"/>
      <c r="C37" s="21"/>
      <c r="D37" s="21"/>
      <c r="E37" s="21"/>
      <c r="F37" s="21"/>
      <c r="G37" s="21"/>
      <c r="H37" s="12"/>
      <c r="J37" s="21"/>
    </row>
    <row r="38" spans="1:10" ht="15" customHeight="1">
      <c r="A38" s="11"/>
      <c r="B38" s="31"/>
      <c r="C38" s="21"/>
      <c r="D38" s="21"/>
      <c r="E38" s="21"/>
      <c r="F38" s="21"/>
      <c r="G38" s="21"/>
      <c r="H38" s="12"/>
      <c r="J38" s="21"/>
    </row>
    <row r="39" spans="1:10" ht="15" customHeight="1">
      <c r="A39" s="11"/>
      <c r="B39" s="31"/>
      <c r="C39" s="21"/>
      <c r="D39" s="21"/>
      <c r="E39" s="21"/>
      <c r="F39" s="21"/>
      <c r="G39" s="21"/>
      <c r="H39" s="12"/>
      <c r="J39" s="21"/>
    </row>
    <row r="40" spans="1:10" ht="15" customHeight="1">
      <c r="A40" s="11"/>
      <c r="B40" s="31"/>
      <c r="C40" s="21"/>
      <c r="D40" s="21"/>
      <c r="E40" s="21"/>
      <c r="F40" s="21"/>
      <c r="G40" s="21"/>
      <c r="H40" s="12"/>
      <c r="J40" s="21"/>
    </row>
    <row r="41" spans="1:10" ht="15" customHeight="1">
      <c r="A41" s="11"/>
      <c r="B41" s="31"/>
      <c r="C41" s="21"/>
      <c r="D41" s="21"/>
      <c r="E41" s="21"/>
      <c r="F41" s="21"/>
      <c r="G41" s="21"/>
      <c r="H41" s="12"/>
      <c r="J41" s="21"/>
    </row>
    <row r="42" spans="2:10" ht="15" customHeight="1">
      <c r="B42" s="15"/>
      <c r="C42" s="21"/>
      <c r="F42" s="15"/>
      <c r="J42" s="9"/>
    </row>
    <row r="43" spans="3:10" ht="15" customHeight="1">
      <c r="C43" s="29"/>
      <c r="D43" s="29"/>
      <c r="E43" s="29"/>
      <c r="F43" s="29"/>
      <c r="G43" s="29"/>
      <c r="J43" s="9"/>
    </row>
    <row r="44" spans="1:10" ht="12.75" customHeight="1">
      <c r="A44" s="22"/>
      <c r="B44" s="50" t="s">
        <v>40</v>
      </c>
      <c r="C44" s="50"/>
      <c r="D44" s="50"/>
      <c r="E44" s="50"/>
      <c r="F44" s="50"/>
      <c r="G44" s="50"/>
      <c r="H44" s="50"/>
      <c r="J44" s="9"/>
    </row>
    <row r="45" spans="1:10" ht="12.75" customHeight="1">
      <c r="A45" s="22"/>
      <c r="B45" s="51" t="s">
        <v>44</v>
      </c>
      <c r="C45" s="51"/>
      <c r="D45" s="51"/>
      <c r="E45" s="51"/>
      <c r="F45" s="51"/>
      <c r="G45" s="51"/>
      <c r="H45" s="51"/>
      <c r="J45" s="9"/>
    </row>
    <row r="46" spans="1:8" ht="12.75" customHeight="1">
      <c r="A46" s="22"/>
      <c r="B46" s="15" t="s">
        <v>1</v>
      </c>
      <c r="C46" s="16" t="s">
        <v>2</v>
      </c>
      <c r="D46" s="16" t="s">
        <v>3</v>
      </c>
      <c r="E46" s="16" t="s">
        <v>4</v>
      </c>
      <c r="F46" s="16" t="s">
        <v>5</v>
      </c>
      <c r="G46" s="16" t="s">
        <v>6</v>
      </c>
      <c r="H46" s="17" t="s">
        <v>7</v>
      </c>
    </row>
    <row r="47" spans="1:9" ht="12.75" customHeight="1">
      <c r="A47" s="7">
        <v>1</v>
      </c>
      <c r="B47" s="37" t="s">
        <v>11</v>
      </c>
      <c r="C47" s="38">
        <f>252+233+159+214+169</f>
        <v>1027</v>
      </c>
      <c r="D47" s="39">
        <f>163+231+212+189+204</f>
        <v>999</v>
      </c>
      <c r="E47" s="40">
        <f>226+163+225+245+148</f>
        <v>1007</v>
      </c>
      <c r="F47" s="41">
        <f>199+224</f>
        <v>423</v>
      </c>
      <c r="G47" s="42">
        <f>222+278</f>
        <v>500</v>
      </c>
      <c r="H47" s="37">
        <f aca="true" t="shared" si="1" ref="H47:H66">SUM(C47:G47)</f>
        <v>3956</v>
      </c>
      <c r="I47" s="2"/>
    </row>
    <row r="48" spans="1:9" ht="12.75" customHeight="1">
      <c r="A48" s="7">
        <v>2</v>
      </c>
      <c r="B48" s="37" t="s">
        <v>15</v>
      </c>
      <c r="C48" s="37">
        <f>277+224+155+154+195</f>
        <v>1005</v>
      </c>
      <c r="D48" s="43">
        <f>245+256+171+165+221</f>
        <v>1058</v>
      </c>
      <c r="E48" s="43">
        <f>215+235+192+159+196</f>
        <v>997</v>
      </c>
      <c r="F48" s="43">
        <f>193+190</f>
        <v>383</v>
      </c>
      <c r="G48" s="43">
        <f>202+245</f>
        <v>447</v>
      </c>
      <c r="H48" s="37">
        <f t="shared" si="1"/>
        <v>3890</v>
      </c>
      <c r="I48" s="3"/>
    </row>
    <row r="49" spans="1:9" ht="12.75" customHeight="1">
      <c r="A49" s="7">
        <v>3</v>
      </c>
      <c r="B49" s="37" t="s">
        <v>21</v>
      </c>
      <c r="C49" s="37">
        <f>225+287+177+289+256</f>
        <v>1234</v>
      </c>
      <c r="D49" s="37">
        <f>236+160+181+193+172</f>
        <v>942</v>
      </c>
      <c r="E49" s="37">
        <f>213+215+192+183+165</f>
        <v>968</v>
      </c>
      <c r="F49" s="37">
        <f>157+161</f>
        <v>318</v>
      </c>
      <c r="G49" s="37">
        <f>190+179</f>
        <v>369</v>
      </c>
      <c r="H49" s="37">
        <f t="shared" si="1"/>
        <v>3831</v>
      </c>
      <c r="I49" s="2"/>
    </row>
    <row r="50" spans="1:8" ht="12.75" customHeight="1">
      <c r="A50" s="7">
        <v>4</v>
      </c>
      <c r="B50" s="37" t="s">
        <v>22</v>
      </c>
      <c r="C50" s="37">
        <f>232+218+172+231+214</f>
        <v>1067</v>
      </c>
      <c r="D50" s="37">
        <f>216+147+237+242+218</f>
        <v>1060</v>
      </c>
      <c r="E50" s="37">
        <f>222+189+184+162+179</f>
        <v>936</v>
      </c>
      <c r="F50" s="37">
        <f>179+137</f>
        <v>316</v>
      </c>
      <c r="G50" s="37">
        <f>204+202</f>
        <v>406</v>
      </c>
      <c r="H50" s="37">
        <f t="shared" si="1"/>
        <v>3785</v>
      </c>
    </row>
    <row r="51" spans="1:8" ht="12.75" customHeight="1">
      <c r="A51" s="7">
        <v>5</v>
      </c>
      <c r="B51" s="37" t="s">
        <v>20</v>
      </c>
      <c r="C51" s="37">
        <f>190+179+213+248+214</f>
        <v>1044</v>
      </c>
      <c r="D51" s="37">
        <f>234+192+234+158+171</f>
        <v>989</v>
      </c>
      <c r="E51" s="37">
        <f>178+233+199+213+168</f>
        <v>991</v>
      </c>
      <c r="F51" s="37">
        <f>166+205</f>
        <v>371</v>
      </c>
      <c r="G51" s="37">
        <f>223+166</f>
        <v>389</v>
      </c>
      <c r="H51" s="37">
        <f t="shared" si="1"/>
        <v>3784</v>
      </c>
    </row>
    <row r="52" spans="1:11" ht="16.5" customHeight="1">
      <c r="A52" s="7">
        <v>6</v>
      </c>
      <c r="B52" s="37" t="s">
        <v>23</v>
      </c>
      <c r="C52" s="37">
        <f>156+204+184+160+200</f>
        <v>904</v>
      </c>
      <c r="D52" s="37">
        <f>213+180+166+137+223</f>
        <v>919</v>
      </c>
      <c r="E52" s="37">
        <f>248+198+189+193+268</f>
        <v>1096</v>
      </c>
      <c r="F52" s="37">
        <f>179+223</f>
        <v>402</v>
      </c>
      <c r="G52" s="37">
        <f>214+172</f>
        <v>386</v>
      </c>
      <c r="H52" s="37">
        <f t="shared" si="1"/>
        <v>3707</v>
      </c>
      <c r="K52" s="26" t="s">
        <v>33</v>
      </c>
    </row>
    <row r="53" spans="1:8" ht="12.75" customHeight="1">
      <c r="A53" s="7">
        <v>7</v>
      </c>
      <c r="B53" s="37" t="s">
        <v>17</v>
      </c>
      <c r="C53" s="37">
        <f>224+213+137+234+174</f>
        <v>982</v>
      </c>
      <c r="D53" s="37">
        <f>136+150+182+192+136</f>
        <v>796</v>
      </c>
      <c r="E53" s="37">
        <f>202+168+224+210+289</f>
        <v>1093</v>
      </c>
      <c r="F53" s="37">
        <f>167+219</f>
        <v>386</v>
      </c>
      <c r="G53" s="37">
        <f>211+186</f>
        <v>397</v>
      </c>
      <c r="H53" s="37">
        <f t="shared" si="1"/>
        <v>3654</v>
      </c>
    </row>
    <row r="54" spans="1:11" ht="12.75" customHeight="1">
      <c r="A54" s="7">
        <v>8</v>
      </c>
      <c r="B54" s="37" t="s">
        <v>35</v>
      </c>
      <c r="C54" s="37">
        <f>225+170+181+147+209</f>
        <v>932</v>
      </c>
      <c r="D54" s="37">
        <f>225+194+231+201+234</f>
        <v>1085</v>
      </c>
      <c r="E54" s="37">
        <f>224+194+186+146+220</f>
        <v>970</v>
      </c>
      <c r="F54" s="21">
        <f>139+163</f>
        <v>302</v>
      </c>
      <c r="G54" s="37">
        <f>222+140</f>
        <v>362</v>
      </c>
      <c r="H54" s="37">
        <f t="shared" si="1"/>
        <v>3651</v>
      </c>
      <c r="J54" s="25" t="s">
        <v>32</v>
      </c>
      <c r="K54" s="18"/>
    </row>
    <row r="55" spans="1:8" ht="12.75" customHeight="1">
      <c r="A55" s="7">
        <v>9</v>
      </c>
      <c r="B55" s="37" t="s">
        <v>9</v>
      </c>
      <c r="C55" s="37">
        <f>205+176+203+182+182</f>
        <v>948</v>
      </c>
      <c r="D55" s="37">
        <f>212+188+242+206+128</f>
        <v>976</v>
      </c>
      <c r="E55" s="37">
        <f>163+220+215+205+162</f>
        <v>965</v>
      </c>
      <c r="F55" s="37">
        <f>193+176</f>
        <v>369</v>
      </c>
      <c r="G55" s="37">
        <f>169+190</f>
        <v>359</v>
      </c>
      <c r="H55" s="37">
        <f t="shared" si="1"/>
        <v>3617</v>
      </c>
    </row>
    <row r="56" spans="1:11" ht="17.25" customHeight="1">
      <c r="A56" s="7">
        <v>10</v>
      </c>
      <c r="B56" s="37" t="s">
        <v>8</v>
      </c>
      <c r="C56" s="37">
        <f>196+163+160+183+144</f>
        <v>846</v>
      </c>
      <c r="D56" s="37">
        <f>244+212+137+180+160</f>
        <v>933</v>
      </c>
      <c r="E56" s="37">
        <f>214+178+258+185+189</f>
        <v>1024</v>
      </c>
      <c r="F56" s="37">
        <f>138+183</f>
        <v>321</v>
      </c>
      <c r="G56" s="37">
        <f>174+182</f>
        <v>356</v>
      </c>
      <c r="H56" s="37">
        <f t="shared" si="1"/>
        <v>3480</v>
      </c>
      <c r="K56" s="49" t="s">
        <v>53</v>
      </c>
    </row>
    <row r="57" spans="1:8" ht="12.75" customHeight="1">
      <c r="A57" s="7">
        <v>11</v>
      </c>
      <c r="B57" s="37" t="s">
        <v>41</v>
      </c>
      <c r="C57" s="37">
        <f>177+179+127+210+210</f>
        <v>903</v>
      </c>
      <c r="D57" s="37">
        <f>167+178+196+199+239</f>
        <v>979</v>
      </c>
      <c r="E57" s="37">
        <f>160+179+159+233+223</f>
        <v>954</v>
      </c>
      <c r="F57" s="21">
        <f>181+138</f>
        <v>319</v>
      </c>
      <c r="G57" s="37">
        <f>144+172</f>
        <v>316</v>
      </c>
      <c r="H57" s="37">
        <f t="shared" si="1"/>
        <v>3471</v>
      </c>
    </row>
    <row r="58" spans="1:12" ht="12.75" customHeight="1">
      <c r="A58" s="7">
        <v>12</v>
      </c>
      <c r="B58" s="37" t="s">
        <v>13</v>
      </c>
      <c r="C58" s="37">
        <f>163+159+213+196+171</f>
        <v>902</v>
      </c>
      <c r="D58" s="37">
        <f>222+149+174+149+194</f>
        <v>888</v>
      </c>
      <c r="E58" s="37">
        <f>171+156+169+201+211</f>
        <v>908</v>
      </c>
      <c r="F58" s="37">
        <f>171+225</f>
        <v>396</v>
      </c>
      <c r="G58" s="37">
        <f>161+168</f>
        <v>329</v>
      </c>
      <c r="H58" s="37">
        <f t="shared" si="1"/>
        <v>3423</v>
      </c>
      <c r="L58" s="9"/>
    </row>
    <row r="59" spans="1:8" ht="12.75" customHeight="1">
      <c r="A59" s="7">
        <v>13</v>
      </c>
      <c r="B59" s="37" t="s">
        <v>34</v>
      </c>
      <c r="C59" s="37">
        <f>156+136+172+155+129</f>
        <v>748</v>
      </c>
      <c r="D59" s="37">
        <f>164+139+180+176+173</f>
        <v>832</v>
      </c>
      <c r="E59" s="37">
        <f>212+183+265+190+159</f>
        <v>1009</v>
      </c>
      <c r="F59" s="37">
        <f>160+190</f>
        <v>350</v>
      </c>
      <c r="G59" s="37">
        <f>216+256</f>
        <v>472</v>
      </c>
      <c r="H59" s="37">
        <f t="shared" si="1"/>
        <v>3411</v>
      </c>
    </row>
    <row r="60" spans="1:12" ht="12.75" customHeight="1">
      <c r="A60" s="7">
        <v>14</v>
      </c>
      <c r="B60" s="37" t="s">
        <v>37</v>
      </c>
      <c r="C60" s="37">
        <f>145+176+188+203+153</f>
        <v>865</v>
      </c>
      <c r="D60" s="37">
        <f>202+153+152+216+164</f>
        <v>887</v>
      </c>
      <c r="E60" s="37">
        <f>162+213+164+191+184</f>
        <v>914</v>
      </c>
      <c r="F60" s="37">
        <f>216+158</f>
        <v>374</v>
      </c>
      <c r="G60" s="37">
        <f>173+168</f>
        <v>341</v>
      </c>
      <c r="H60" s="37">
        <f t="shared" si="1"/>
        <v>3381</v>
      </c>
      <c r="J60" s="9" t="s">
        <v>27</v>
      </c>
      <c r="L60" s="24"/>
    </row>
    <row r="61" spans="1:8" ht="12.75" customHeight="1">
      <c r="A61" s="7">
        <v>15</v>
      </c>
      <c r="B61" s="37" t="s">
        <v>38</v>
      </c>
      <c r="C61" s="37">
        <f>158+143+176+164+177</f>
        <v>818</v>
      </c>
      <c r="D61" s="37">
        <f>167+148+245+157+156</f>
        <v>873</v>
      </c>
      <c r="E61" s="37">
        <f>188+161+192+205+143</f>
        <v>889</v>
      </c>
      <c r="F61" s="37">
        <f>197+200</f>
        <v>397</v>
      </c>
      <c r="G61" s="37">
        <f>179+190</f>
        <v>369</v>
      </c>
      <c r="H61" s="37">
        <f t="shared" si="1"/>
        <v>3346</v>
      </c>
    </row>
    <row r="62" spans="1:11" ht="12.75" customHeight="1">
      <c r="A62" s="7">
        <v>16</v>
      </c>
      <c r="B62" s="37" t="s">
        <v>19</v>
      </c>
      <c r="C62" s="37">
        <f>132+190+145+158+200</f>
        <v>825</v>
      </c>
      <c r="D62" s="37">
        <f>194+176+170+216+108</f>
        <v>864</v>
      </c>
      <c r="E62" s="37">
        <f>137+174+180+190+164</f>
        <v>845</v>
      </c>
      <c r="F62" s="37">
        <f>195+161</f>
        <v>356</v>
      </c>
      <c r="G62" s="37">
        <f>197+197</f>
        <v>394</v>
      </c>
      <c r="H62" s="37">
        <f t="shared" si="1"/>
        <v>3284</v>
      </c>
      <c r="K62" s="24" t="s">
        <v>51</v>
      </c>
    </row>
    <row r="63" spans="1:8" ht="12.75" customHeight="1">
      <c r="A63" s="7">
        <v>17</v>
      </c>
      <c r="B63" s="37" t="s">
        <v>14</v>
      </c>
      <c r="C63" s="37">
        <f>171+191+136+194+182</f>
        <v>874</v>
      </c>
      <c r="D63" s="37">
        <f>211+154+188+223+143</f>
        <v>919</v>
      </c>
      <c r="E63" s="37">
        <f>200+171+190+154+166</f>
        <v>881</v>
      </c>
      <c r="F63" s="37">
        <f>157+151</f>
        <v>308</v>
      </c>
      <c r="G63" s="37">
        <f>142+147</f>
        <v>289</v>
      </c>
      <c r="H63" s="37">
        <f t="shared" si="1"/>
        <v>3271</v>
      </c>
    </row>
    <row r="64" spans="1:8" ht="12.75" customHeight="1">
      <c r="A64" s="7">
        <v>18</v>
      </c>
      <c r="B64" s="37" t="s">
        <v>24</v>
      </c>
      <c r="C64" s="37">
        <f>204+176+171+121+122</f>
        <v>794</v>
      </c>
      <c r="D64" s="37">
        <f>211+160+151+170+164</f>
        <v>856</v>
      </c>
      <c r="E64" s="37">
        <f>191+194+187+149+124</f>
        <v>845</v>
      </c>
      <c r="F64" s="37">
        <f>155+184</f>
        <v>339</v>
      </c>
      <c r="G64" s="37">
        <f>197+162</f>
        <v>359</v>
      </c>
      <c r="H64" s="37">
        <f t="shared" si="1"/>
        <v>3193</v>
      </c>
    </row>
    <row r="65" spans="1:8" ht="12.75" customHeight="1">
      <c r="A65" s="7">
        <v>19</v>
      </c>
      <c r="B65" s="37" t="s">
        <v>36</v>
      </c>
      <c r="C65" s="37">
        <f>141+95+134+124+166</f>
        <v>660</v>
      </c>
      <c r="D65" s="37">
        <f>170+197+193+163+169</f>
        <v>892</v>
      </c>
      <c r="E65" s="37">
        <f>148+162+182+120+206</f>
        <v>818</v>
      </c>
      <c r="F65" s="37">
        <f>162+194</f>
        <v>356</v>
      </c>
      <c r="G65" s="37">
        <f>210+175</f>
        <v>385</v>
      </c>
      <c r="H65" s="37">
        <f t="shared" si="1"/>
        <v>3111</v>
      </c>
    </row>
    <row r="66" spans="1:8" ht="12.75" customHeight="1">
      <c r="A66" s="7">
        <v>20</v>
      </c>
      <c r="B66" s="37" t="s">
        <v>12</v>
      </c>
      <c r="C66" s="37">
        <f>164+134+121+148+226</f>
        <v>793</v>
      </c>
      <c r="D66" s="37">
        <f>201+120+139+150+194</f>
        <v>804</v>
      </c>
      <c r="E66" s="37">
        <f>135+153+132+182+134</f>
        <v>736</v>
      </c>
      <c r="F66" s="37">
        <f>155+147</f>
        <v>302</v>
      </c>
      <c r="G66" s="37">
        <f>180+187</f>
        <v>367</v>
      </c>
      <c r="H66" s="37">
        <f t="shared" si="1"/>
        <v>3002</v>
      </c>
    </row>
    <row r="67" spans="1:8" ht="12.75" customHeight="1">
      <c r="A67" s="11"/>
      <c r="B67" s="13" t="s">
        <v>26</v>
      </c>
      <c r="C67" s="32"/>
      <c r="D67" s="32"/>
      <c r="E67" s="32"/>
      <c r="F67" s="32"/>
      <c r="G67" s="15" t="s">
        <v>29</v>
      </c>
      <c r="H67" s="32"/>
    </row>
    <row r="68" spans="1:10" ht="12.75" customHeight="1">
      <c r="A68" s="11"/>
      <c r="B68" s="32" t="s">
        <v>45</v>
      </c>
      <c r="C68" s="32" t="s">
        <v>46</v>
      </c>
      <c r="D68" s="32">
        <v>289</v>
      </c>
      <c r="E68" s="32"/>
      <c r="F68" s="32" t="s">
        <v>50</v>
      </c>
      <c r="G68" s="21"/>
      <c r="H68" s="32" t="s">
        <v>51</v>
      </c>
      <c r="J68">
        <v>737</v>
      </c>
    </row>
    <row r="69" spans="1:10" ht="12.75" customHeight="1">
      <c r="A69" s="11"/>
      <c r="B69" s="32" t="s">
        <v>47</v>
      </c>
      <c r="C69" s="32" t="s">
        <v>48</v>
      </c>
      <c r="D69" s="32">
        <v>289</v>
      </c>
      <c r="E69" s="32"/>
      <c r="F69" s="32" t="s">
        <v>52</v>
      </c>
      <c r="G69" s="21"/>
      <c r="H69" s="32" t="s">
        <v>53</v>
      </c>
      <c r="J69">
        <v>674</v>
      </c>
    </row>
    <row r="70" spans="1:10" ht="12.75" customHeight="1">
      <c r="A70" s="11"/>
      <c r="B70" s="33" t="s">
        <v>49</v>
      </c>
      <c r="C70" s="32" t="s">
        <v>46</v>
      </c>
      <c r="D70" s="32">
        <v>287</v>
      </c>
      <c r="E70" s="32"/>
      <c r="F70" s="32" t="s">
        <v>54</v>
      </c>
      <c r="G70" s="21"/>
      <c r="H70" s="32" t="s">
        <v>46</v>
      </c>
      <c r="J70">
        <v>674</v>
      </c>
    </row>
    <row r="71" spans="1:8" ht="12.75" customHeight="1">
      <c r="A71" s="11"/>
      <c r="B71" s="33"/>
      <c r="C71" s="32"/>
      <c r="D71" s="32"/>
      <c r="E71" s="32"/>
      <c r="F71" s="32"/>
      <c r="G71" s="21"/>
      <c r="H71" s="32"/>
    </row>
    <row r="72" spans="1:8" ht="12.75" customHeight="1">
      <c r="A72" s="11"/>
      <c r="B72" s="50" t="s">
        <v>28</v>
      </c>
      <c r="C72" s="50"/>
      <c r="D72" s="50"/>
      <c r="E72" s="50"/>
      <c r="F72" s="50"/>
      <c r="G72" s="50"/>
      <c r="H72" s="50"/>
    </row>
    <row r="73" spans="1:8" ht="12.75" customHeight="1">
      <c r="A73" s="11"/>
      <c r="B73" s="15" t="s">
        <v>1</v>
      </c>
      <c r="C73" s="16" t="s">
        <v>2</v>
      </c>
      <c r="D73" s="16" t="s">
        <v>3</v>
      </c>
      <c r="E73" s="16" t="s">
        <v>4</v>
      </c>
      <c r="F73" s="16" t="s">
        <v>5</v>
      </c>
      <c r="G73" s="16" t="s">
        <v>6</v>
      </c>
      <c r="H73" s="17" t="s">
        <v>7</v>
      </c>
    </row>
    <row r="74" spans="1:11" ht="12.75" customHeight="1">
      <c r="A74" s="7">
        <v>1</v>
      </c>
      <c r="B74" s="37" t="s">
        <v>42</v>
      </c>
      <c r="C74" s="44">
        <f>204+132+178+161+125</f>
        <v>800</v>
      </c>
      <c r="D74" s="37">
        <f>256+166+192+171+176</f>
        <v>961</v>
      </c>
      <c r="E74" s="37">
        <f>185+215+234+233+210</f>
        <v>1077</v>
      </c>
      <c r="F74" s="37">
        <f>180+135</f>
        <v>315</v>
      </c>
      <c r="G74" s="37">
        <f>256+196</f>
        <v>452</v>
      </c>
      <c r="H74" s="37">
        <f aca="true" t="shared" si="2" ref="H74:H83">SUM(C74:G74)</f>
        <v>3605</v>
      </c>
      <c r="K74" s="26" t="s">
        <v>30</v>
      </c>
    </row>
    <row r="75" spans="1:8" ht="12.75" customHeight="1">
      <c r="A75" s="7">
        <v>2</v>
      </c>
      <c r="B75" s="38" t="s">
        <v>23</v>
      </c>
      <c r="C75" s="45">
        <f>188+191+203+189+113</f>
        <v>884</v>
      </c>
      <c r="D75" s="46">
        <f>151+235+199+186+148</f>
        <v>919</v>
      </c>
      <c r="E75" s="37">
        <f>182+185+145+173+232</f>
        <v>917</v>
      </c>
      <c r="F75" s="37">
        <f>200+232</f>
        <v>432</v>
      </c>
      <c r="G75" s="37">
        <f>180+179</f>
        <v>359</v>
      </c>
      <c r="H75" s="37">
        <f t="shared" si="2"/>
        <v>3511</v>
      </c>
    </row>
    <row r="76" spans="1:11" ht="12.75" customHeight="1">
      <c r="A76" s="7">
        <v>3</v>
      </c>
      <c r="B76" s="37" t="s">
        <v>11</v>
      </c>
      <c r="C76" s="21">
        <f>179+222+179+251+142</f>
        <v>973</v>
      </c>
      <c r="D76" s="37">
        <f>199+156+165+172+159</f>
        <v>851</v>
      </c>
      <c r="E76" s="37">
        <f>195+158+173+212+146</f>
        <v>884</v>
      </c>
      <c r="F76" s="37">
        <f>198+180</f>
        <v>378</v>
      </c>
      <c r="G76" s="37">
        <f>166+202</f>
        <v>368</v>
      </c>
      <c r="H76" s="37">
        <f t="shared" si="2"/>
        <v>3454</v>
      </c>
      <c r="J76" s="25" t="s">
        <v>32</v>
      </c>
      <c r="K76" s="23"/>
    </row>
    <row r="77" spans="1:8" ht="12.75" customHeight="1">
      <c r="A77" s="7">
        <v>4</v>
      </c>
      <c r="B77" s="37" t="s">
        <v>41</v>
      </c>
      <c r="C77" s="37">
        <f>145+118+179+170+193</f>
        <v>805</v>
      </c>
      <c r="D77" s="37">
        <f>113+203+190+164+177</f>
        <v>847</v>
      </c>
      <c r="E77" s="37">
        <f>161+192+189+140+143</f>
        <v>825</v>
      </c>
      <c r="F77" s="37">
        <f>174+222</f>
        <v>396</v>
      </c>
      <c r="G77" s="37">
        <f>180+185</f>
        <v>365</v>
      </c>
      <c r="H77" s="37">
        <f t="shared" si="2"/>
        <v>3238</v>
      </c>
    </row>
    <row r="78" spans="1:11" ht="15.75" customHeight="1">
      <c r="A78" s="7">
        <v>5</v>
      </c>
      <c r="B78" s="37" t="s">
        <v>21</v>
      </c>
      <c r="C78" s="37">
        <f>168+159+213+181+125</f>
        <v>846</v>
      </c>
      <c r="D78" s="37">
        <f>193+235+231+125+123</f>
        <v>907</v>
      </c>
      <c r="E78" s="37">
        <f>189+178+168+108+124</f>
        <v>767</v>
      </c>
      <c r="F78" s="37">
        <f>175+148</f>
        <v>323</v>
      </c>
      <c r="G78" s="37">
        <f>181+170</f>
        <v>351</v>
      </c>
      <c r="H78" s="37">
        <f t="shared" si="2"/>
        <v>3194</v>
      </c>
      <c r="K78" s="34" t="s">
        <v>66</v>
      </c>
    </row>
    <row r="79" spans="1:8" ht="12.75" customHeight="1">
      <c r="A79" s="7">
        <v>6</v>
      </c>
      <c r="B79" s="37" t="s">
        <v>43</v>
      </c>
      <c r="C79" s="37">
        <f>204+133+169+145+179</f>
        <v>830</v>
      </c>
      <c r="D79" s="37">
        <f>149+134+207+126+172</f>
        <v>788</v>
      </c>
      <c r="E79" s="37">
        <f>235+122+159+146+127</f>
        <v>789</v>
      </c>
      <c r="F79" s="37">
        <f>148+196</f>
        <v>344</v>
      </c>
      <c r="G79" s="37">
        <f>157+144</f>
        <v>301</v>
      </c>
      <c r="H79" s="37">
        <f t="shared" si="2"/>
        <v>3052</v>
      </c>
    </row>
    <row r="80" spans="1:8" ht="12.75" customHeight="1">
      <c r="A80" s="7">
        <v>7</v>
      </c>
      <c r="B80" s="37" t="s">
        <v>15</v>
      </c>
      <c r="C80" s="37">
        <f>134+175+125+110+158</f>
        <v>702</v>
      </c>
      <c r="D80" s="37">
        <f>192+137+146+180+115</f>
        <v>770</v>
      </c>
      <c r="E80" s="37">
        <f>163+148+139+184+170</f>
        <v>804</v>
      </c>
      <c r="F80" s="37">
        <f>188+180</f>
        <v>368</v>
      </c>
      <c r="G80" s="37">
        <f>170+179</f>
        <v>349</v>
      </c>
      <c r="H80" s="37">
        <f t="shared" si="2"/>
        <v>2993</v>
      </c>
    </row>
    <row r="81" spans="1:10" ht="12.75" customHeight="1">
      <c r="A81" s="7">
        <v>8</v>
      </c>
      <c r="B81" s="37" t="s">
        <v>19</v>
      </c>
      <c r="C81" s="37">
        <f>159+133+92+112+125</f>
        <v>621</v>
      </c>
      <c r="D81" s="37">
        <f>165+153+113+119+155</f>
        <v>705</v>
      </c>
      <c r="E81" s="37">
        <f>199+156+120+158+158</f>
        <v>791</v>
      </c>
      <c r="F81" s="37">
        <f>163+142</f>
        <v>305</v>
      </c>
      <c r="G81" s="37">
        <f>147+123</f>
        <v>270</v>
      </c>
      <c r="H81" s="37">
        <f t="shared" si="2"/>
        <v>2692</v>
      </c>
      <c r="J81" s="9" t="s">
        <v>27</v>
      </c>
    </row>
    <row r="82" spans="1:8" ht="12.75" customHeight="1">
      <c r="A82" s="7">
        <v>9</v>
      </c>
      <c r="B82" s="37" t="s">
        <v>13</v>
      </c>
      <c r="C82" s="37">
        <f>103+139+126+135+155</f>
        <v>658</v>
      </c>
      <c r="D82" s="37">
        <f>138+87+124+203+147</f>
        <v>699</v>
      </c>
      <c r="E82" s="37">
        <f>135+137+133+161+166</f>
        <v>732</v>
      </c>
      <c r="F82" s="37">
        <f>129+123</f>
        <v>252</v>
      </c>
      <c r="G82" s="37">
        <f>128+125</f>
        <v>253</v>
      </c>
      <c r="H82" s="37">
        <f t="shared" si="2"/>
        <v>2594</v>
      </c>
    </row>
    <row r="83" spans="1:11" ht="12.75" customHeight="1">
      <c r="A83" s="7">
        <v>10</v>
      </c>
      <c r="B83" s="37" t="s">
        <v>34</v>
      </c>
      <c r="C83" s="37">
        <f>131+113+150+105+158</f>
        <v>657</v>
      </c>
      <c r="D83" s="37">
        <f>113+120+152+76+174</f>
        <v>635</v>
      </c>
      <c r="E83" s="37">
        <f>103+85+179+132+129</f>
        <v>628</v>
      </c>
      <c r="F83" s="37">
        <f>141+132</f>
        <v>273</v>
      </c>
      <c r="G83" s="37">
        <f>107+91</f>
        <v>198</v>
      </c>
      <c r="H83" s="37">
        <f t="shared" si="2"/>
        <v>2391</v>
      </c>
      <c r="K83" s="9" t="s">
        <v>67</v>
      </c>
    </row>
    <row r="84" spans="1:11" ht="12.75" customHeight="1">
      <c r="A84" s="22"/>
      <c r="B84" s="13" t="s">
        <v>26</v>
      </c>
      <c r="C84" s="21"/>
      <c r="D84" s="21"/>
      <c r="E84" s="21"/>
      <c r="F84" s="13"/>
      <c r="G84" s="15" t="s">
        <v>29</v>
      </c>
      <c r="H84" s="21"/>
      <c r="K84" s="27"/>
    </row>
    <row r="85" spans="1:12" ht="12.75" customHeight="1">
      <c r="A85" s="22"/>
      <c r="B85" s="33" t="s">
        <v>55</v>
      </c>
      <c r="C85" s="21" t="s">
        <v>56</v>
      </c>
      <c r="D85" s="21"/>
      <c r="E85" s="21">
        <v>256</v>
      </c>
      <c r="F85" s="32"/>
      <c r="G85" s="21">
        <v>645</v>
      </c>
      <c r="H85" s="21"/>
      <c r="I85" s="21"/>
      <c r="J85" s="21"/>
      <c r="K85" s="21"/>
      <c r="L85" s="21"/>
    </row>
    <row r="86" ht="14.25" customHeight="1"/>
    <row r="87" ht="14.25" customHeight="1"/>
  </sheetData>
  <sheetProtection/>
  <mergeCells count="7">
    <mergeCell ref="B72:H72"/>
    <mergeCell ref="B45:H45"/>
    <mergeCell ref="B1:H1"/>
    <mergeCell ref="B2:H2"/>
    <mergeCell ref="B4:H4"/>
    <mergeCell ref="B30:H30"/>
    <mergeCell ref="B44:H44"/>
  </mergeCells>
  <printOptions/>
  <pageMargins left="0.7479166666666667" right="0.5701388888888889" top="0.28" bottom="0.3" header="0.27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</cp:lastModifiedBy>
  <cp:lastPrinted>2013-01-22T04:16:40Z</cp:lastPrinted>
  <dcterms:created xsi:type="dcterms:W3CDTF">2010-01-23T04:38:00Z</dcterms:created>
  <dcterms:modified xsi:type="dcterms:W3CDTF">2013-01-22T04:17:40Z</dcterms:modified>
  <cp:category/>
  <cp:version/>
  <cp:contentType/>
  <cp:contentStatus/>
</cp:coreProperties>
</file>