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208" windowHeight="5940" activeTab="0"/>
  </bookViews>
  <sheets>
    <sheet name="Team Results" sheetId="1" r:id="rId1"/>
  </sheets>
  <definedNames/>
  <calcPr fullCalcOnLoad="1"/>
</workbook>
</file>

<file path=xl/sharedStrings.xml><?xml version="1.0" encoding="utf-8"?>
<sst xmlns="http://schemas.openxmlformats.org/spreadsheetml/2006/main" count="138" uniqueCount="64">
  <si>
    <t>GIRLS DIVISION</t>
  </si>
  <si>
    <t>SCHOOL</t>
  </si>
  <si>
    <t>Gm 1</t>
  </si>
  <si>
    <t>Gm 2</t>
  </si>
  <si>
    <t>Gm 3</t>
  </si>
  <si>
    <t>Baker 1</t>
  </si>
  <si>
    <t>Baker 2</t>
  </si>
  <si>
    <t>Totals</t>
  </si>
  <si>
    <t>ANNAPOLIS</t>
  </si>
  <si>
    <t>BELLEVILLE</t>
  </si>
  <si>
    <t>VARSITY GIRLS</t>
  </si>
  <si>
    <t>CANTON</t>
  </si>
  <si>
    <t>CRESTWOOD</t>
  </si>
  <si>
    <t>DIVINE CHILD</t>
  </si>
  <si>
    <t>FLAT ROCK</t>
  </si>
  <si>
    <t>JOHN GLENN</t>
  </si>
  <si>
    <t xml:space="preserve">RUNNER UP: </t>
  </si>
  <si>
    <t>KENNEDY</t>
  </si>
  <si>
    <t>LADYWOOD</t>
  </si>
  <si>
    <t>NORTHVILLE</t>
  </si>
  <si>
    <t>PLYMOUTH</t>
  </si>
  <si>
    <t>SALEM</t>
  </si>
  <si>
    <t>TRUMAN</t>
  </si>
  <si>
    <t>WAYNE MEMORIAL</t>
  </si>
  <si>
    <t>WOODHAVEN</t>
  </si>
  <si>
    <t>JV GIRLS DIVISION</t>
  </si>
  <si>
    <t>High Game</t>
  </si>
  <si>
    <t>BOYS DIVISION</t>
  </si>
  <si>
    <t xml:space="preserve">RUNNER UP:  </t>
  </si>
  <si>
    <t>JV BOYS DIVISION</t>
  </si>
  <si>
    <t>High Series</t>
  </si>
  <si>
    <t xml:space="preserve">JV BOYS  </t>
  </si>
  <si>
    <t>TOURNAMENT CHAMPIONS</t>
  </si>
  <si>
    <t xml:space="preserve">JV GIRLS </t>
  </si>
  <si>
    <t>TOURNAMENT CHAMPIONS:</t>
  </si>
  <si>
    <t>VARSITY BOYS</t>
  </si>
  <si>
    <t>GABRIEL RICHARD</t>
  </si>
  <si>
    <t>HURON</t>
  </si>
  <si>
    <t>SOUTHGATE</t>
  </si>
  <si>
    <t>U OF D JESUIT</t>
  </si>
  <si>
    <t>ROMULUS</t>
  </si>
  <si>
    <t>7TH ANNUAL WAYNE COUNTY TOURNAMENT</t>
  </si>
  <si>
    <t>Elliot Arnold</t>
  </si>
  <si>
    <t>Dustin Rose</t>
  </si>
  <si>
    <t>Wayne Memorial</t>
  </si>
  <si>
    <t>Woodhaven</t>
  </si>
  <si>
    <t>Brandon Congdon</t>
  </si>
  <si>
    <t>Plymouth</t>
  </si>
  <si>
    <t>Tyler Snyder</t>
  </si>
  <si>
    <t>Salem</t>
  </si>
  <si>
    <t>Brandon Woods</t>
  </si>
  <si>
    <r>
      <t>High Series</t>
    </r>
    <r>
      <rPr>
        <b/>
        <sz val="12"/>
        <rFont val="Arial"/>
        <family val="2"/>
      </rPr>
      <t xml:space="preserve"> </t>
    </r>
  </si>
  <si>
    <t>Lindsay Risden</t>
  </si>
  <si>
    <t>Flat Rock</t>
  </si>
  <si>
    <t>Samantha Cwik</t>
  </si>
  <si>
    <t>Kennedy</t>
  </si>
  <si>
    <t>Kristen Larkins</t>
  </si>
  <si>
    <t>Kara Lang</t>
  </si>
  <si>
    <t>Divine Child</t>
  </si>
  <si>
    <t>Ashley Gluba</t>
  </si>
  <si>
    <t>Keeli Winquist</t>
  </si>
  <si>
    <t xml:space="preserve">Canton </t>
  </si>
  <si>
    <t>Samantha Sugiyama</t>
  </si>
  <si>
    <t>Northville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</si>
</sst>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right"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selection activeCell="B44" sqref="B44:H44"/>
    </sheetView>
  </sheetViews>
  <sheetFormatPr defaultColWidth="9.140625" defaultRowHeight="12.75"/>
  <cols>
    <col min="1" max="1" width="3.421875" style="1" customWidth="1"/>
    <col min="2" max="2" width="20.00390625" style="0" customWidth="1"/>
    <col min="3" max="8" width="8.7109375" style="0" customWidth="1"/>
    <col min="9" max="9" width="3.28125" style="0" customWidth="1"/>
    <col min="10" max="10" width="11.421875" style="0" customWidth="1"/>
  </cols>
  <sheetData>
    <row r="1" spans="2:9" ht="15">
      <c r="B1" s="45" t="s">
        <v>41</v>
      </c>
      <c r="C1" s="45"/>
      <c r="D1" s="45"/>
      <c r="E1" s="45"/>
      <c r="F1" s="45"/>
      <c r="G1" s="45"/>
      <c r="H1" s="45"/>
      <c r="I1" s="2"/>
    </row>
    <row r="2" spans="2:9" ht="12.75" customHeight="1">
      <c r="B2" s="46">
        <v>40929</v>
      </c>
      <c r="C2" s="46"/>
      <c r="D2" s="46"/>
      <c r="E2" s="46"/>
      <c r="F2" s="46"/>
      <c r="G2" s="46"/>
      <c r="H2" s="46"/>
      <c r="I2" s="3"/>
    </row>
    <row r="3" spans="2:9" ht="13.5" customHeight="1">
      <c r="B3" s="45" t="s">
        <v>0</v>
      </c>
      <c r="C3" s="45"/>
      <c r="D3" s="45"/>
      <c r="E3" s="45"/>
      <c r="F3" s="45"/>
      <c r="G3" s="45"/>
      <c r="H3" s="45"/>
      <c r="I3" s="2"/>
    </row>
    <row r="4" spans="2:8" ht="12.75"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</row>
    <row r="5" spans="1:8" ht="15" customHeight="1">
      <c r="A5" s="7">
        <v>1</v>
      </c>
      <c r="B5" s="8" t="s">
        <v>17</v>
      </c>
      <c r="C5" s="8">
        <f>170+134+175+193+212</f>
        <v>884</v>
      </c>
      <c r="D5" s="8">
        <f>224+201+120+213+226</f>
        <v>984</v>
      </c>
      <c r="E5" s="8">
        <f>210+118+210+195+205</f>
        <v>938</v>
      </c>
      <c r="F5" s="8">
        <f>148+222</f>
        <v>370</v>
      </c>
      <c r="G5" s="8">
        <f>202+170</f>
        <v>372</v>
      </c>
      <c r="H5" s="8">
        <f aca="true" t="shared" si="0" ref="H5:H23">SUM(C5:G5)</f>
        <v>3548</v>
      </c>
    </row>
    <row r="6" spans="1:11" ht="15" customHeight="1">
      <c r="A6" s="7">
        <v>2</v>
      </c>
      <c r="B6" s="8" t="s">
        <v>14</v>
      </c>
      <c r="C6" s="19">
        <f>171+188+174+199+223</f>
        <v>955</v>
      </c>
      <c r="D6" s="8">
        <f>147+184+180+179+164</f>
        <v>854</v>
      </c>
      <c r="E6" s="8">
        <f>180+235+183+138+165</f>
        <v>901</v>
      </c>
      <c r="F6" s="8">
        <f>180+142</f>
        <v>322</v>
      </c>
      <c r="G6" s="8">
        <f>205+170</f>
        <v>375</v>
      </c>
      <c r="H6" s="8">
        <f t="shared" si="0"/>
        <v>3407</v>
      </c>
      <c r="K6" s="26" t="s">
        <v>10</v>
      </c>
    </row>
    <row r="7" spans="1:10" ht="15" customHeight="1">
      <c r="A7" s="7">
        <v>3</v>
      </c>
      <c r="B7" s="19" t="s">
        <v>38</v>
      </c>
      <c r="C7" s="8">
        <f>186+192+139+140+162</f>
        <v>819</v>
      </c>
      <c r="D7" s="8">
        <f>192+160+167+124+188</f>
        <v>831</v>
      </c>
      <c r="E7" s="8">
        <f>174+191+176+224+105</f>
        <v>870</v>
      </c>
      <c r="F7" s="8">
        <f>160+174</f>
        <v>334</v>
      </c>
      <c r="G7" s="8">
        <f>177+184</f>
        <v>361</v>
      </c>
      <c r="H7" s="8">
        <f t="shared" si="0"/>
        <v>3215</v>
      </c>
      <c r="J7" s="9"/>
    </row>
    <row r="8" spans="1:11" ht="15" customHeight="1">
      <c r="A8" s="7">
        <v>4</v>
      </c>
      <c r="B8" s="8" t="s">
        <v>15</v>
      </c>
      <c r="C8" s="8">
        <f>191+169+189+147+113</f>
        <v>809</v>
      </c>
      <c r="D8" s="8">
        <f>178+139+171+158+108</f>
        <v>754</v>
      </c>
      <c r="E8" s="8">
        <f>160+209+190+215+135</f>
        <v>909</v>
      </c>
      <c r="F8" s="8">
        <f>155+154</f>
        <v>309</v>
      </c>
      <c r="G8" s="8">
        <f>138+151</f>
        <v>289</v>
      </c>
      <c r="H8" s="8">
        <f>SUM(C8:G8)</f>
        <v>3070</v>
      </c>
      <c r="K8" s="24" t="s">
        <v>34</v>
      </c>
    </row>
    <row r="9" spans="1:8" ht="15" customHeight="1">
      <c r="A9" s="7">
        <v>5</v>
      </c>
      <c r="B9" s="8" t="s">
        <v>20</v>
      </c>
      <c r="C9" s="19">
        <f>165+193+183+139+128</f>
        <v>808</v>
      </c>
      <c r="D9" s="8">
        <f>171+190+173+113+120</f>
        <v>767</v>
      </c>
      <c r="E9" s="8">
        <f>177+216+159+121+118</f>
        <v>791</v>
      </c>
      <c r="F9" s="8">
        <f>184+198</f>
        <v>382</v>
      </c>
      <c r="G9" s="8">
        <f>139+175</f>
        <v>314</v>
      </c>
      <c r="H9" s="8">
        <f t="shared" si="0"/>
        <v>3062</v>
      </c>
    </row>
    <row r="10" spans="1:15" ht="15" customHeight="1">
      <c r="A10" s="7">
        <v>6</v>
      </c>
      <c r="B10" s="8" t="s">
        <v>19</v>
      </c>
      <c r="C10" s="30">
        <f>205+180+123+131+123</f>
        <v>762</v>
      </c>
      <c r="D10" s="8">
        <f>224+169+158+130+131</f>
        <v>812</v>
      </c>
      <c r="E10" s="8">
        <f>160+125+159+143+219</f>
        <v>806</v>
      </c>
      <c r="F10" s="8">
        <f>187+140</f>
        <v>327</v>
      </c>
      <c r="G10" s="8">
        <f>146+203</f>
        <v>349</v>
      </c>
      <c r="H10" s="8">
        <f t="shared" si="0"/>
        <v>3056</v>
      </c>
      <c r="K10" s="27" t="s">
        <v>53</v>
      </c>
      <c r="O10" s="10"/>
    </row>
    <row r="11" spans="1:12" ht="15" customHeight="1">
      <c r="A11" s="7">
        <v>7</v>
      </c>
      <c r="B11" s="8" t="s">
        <v>21</v>
      </c>
      <c r="C11" s="8">
        <f>141+161+129+225+122</f>
        <v>778</v>
      </c>
      <c r="D11" s="8">
        <f>126+159+125+192+192</f>
        <v>794</v>
      </c>
      <c r="E11" s="8">
        <f>136+194+148+133+187</f>
        <v>798</v>
      </c>
      <c r="F11" s="8">
        <f>141+190</f>
        <v>331</v>
      </c>
      <c r="G11" s="8">
        <f>148+122</f>
        <v>270</v>
      </c>
      <c r="H11" s="8">
        <f t="shared" si="0"/>
        <v>2971</v>
      </c>
      <c r="L11" s="9"/>
    </row>
    <row r="12" spans="1:8" ht="15" customHeight="1">
      <c r="A12" s="7">
        <v>8</v>
      </c>
      <c r="B12" s="8" t="s">
        <v>18</v>
      </c>
      <c r="C12" s="8">
        <f>142+206+182+160+129</f>
        <v>819</v>
      </c>
      <c r="D12" s="8">
        <f>142+138+116+193+129</f>
        <v>718</v>
      </c>
      <c r="E12" s="8">
        <f>167+200+171+95+102</f>
        <v>735</v>
      </c>
      <c r="F12" s="8">
        <f>143+143</f>
        <v>286</v>
      </c>
      <c r="G12" s="8">
        <f>150+118</f>
        <v>268</v>
      </c>
      <c r="H12" s="8">
        <f t="shared" si="0"/>
        <v>2826</v>
      </c>
    </row>
    <row r="13" spans="1:12" ht="15" customHeight="1">
      <c r="A13" s="7">
        <v>9</v>
      </c>
      <c r="B13" s="8" t="s">
        <v>24</v>
      </c>
      <c r="C13" s="8">
        <f>166+171+123+110+190</f>
        <v>760</v>
      </c>
      <c r="D13" s="8">
        <f>168+194+142+95+186</f>
        <v>785</v>
      </c>
      <c r="E13" s="8">
        <f>153+213+110+133+136</f>
        <v>745</v>
      </c>
      <c r="F13" s="8">
        <f>133+124</f>
        <v>257</v>
      </c>
      <c r="G13" s="8">
        <f>123+139</f>
        <v>262</v>
      </c>
      <c r="H13" s="8">
        <f t="shared" si="0"/>
        <v>2809</v>
      </c>
      <c r="J13" s="9" t="s">
        <v>16</v>
      </c>
      <c r="L13" s="24"/>
    </row>
    <row r="14" spans="1:8" ht="15" customHeight="1">
      <c r="A14" s="7">
        <v>10</v>
      </c>
      <c r="B14" s="8" t="s">
        <v>13</v>
      </c>
      <c r="C14" s="8">
        <f>139+84+214+168+160</f>
        <v>765</v>
      </c>
      <c r="D14" s="8">
        <f>78+96+199+183+171</f>
        <v>727</v>
      </c>
      <c r="E14" s="8">
        <f>118+89+202+182+179</f>
        <v>770</v>
      </c>
      <c r="F14" s="8">
        <f>150+107</f>
        <v>257</v>
      </c>
      <c r="G14" s="8">
        <f>138+148</f>
        <v>286</v>
      </c>
      <c r="H14" s="8">
        <f t="shared" si="0"/>
        <v>2805</v>
      </c>
    </row>
    <row r="15" spans="1:11" ht="15" customHeight="1">
      <c r="A15" s="7">
        <v>11</v>
      </c>
      <c r="B15" s="8" t="s">
        <v>9</v>
      </c>
      <c r="C15" s="8">
        <f>138+143+173+106+133</f>
        <v>693</v>
      </c>
      <c r="D15" s="8">
        <f>171+116+181+115+158</f>
        <v>741</v>
      </c>
      <c r="E15" s="8">
        <f>154+191+110+119+141</f>
        <v>715</v>
      </c>
      <c r="F15" s="8">
        <f>119+177</f>
        <v>296</v>
      </c>
      <c r="G15" s="8">
        <f>149+166</f>
        <v>315</v>
      </c>
      <c r="H15" s="8">
        <f t="shared" si="0"/>
        <v>2760</v>
      </c>
      <c r="K15" s="9" t="s">
        <v>55</v>
      </c>
    </row>
    <row r="16" spans="1:8" ht="15" customHeight="1">
      <c r="A16" s="7">
        <v>12</v>
      </c>
      <c r="B16" s="8" t="s">
        <v>23</v>
      </c>
      <c r="C16" s="8">
        <f>144+154+160+118+119</f>
        <v>695</v>
      </c>
      <c r="D16" s="8">
        <f>90+153+190+179+99</f>
        <v>711</v>
      </c>
      <c r="E16" s="8">
        <f>105+144+181+205+98</f>
        <v>733</v>
      </c>
      <c r="F16" s="8">
        <f>122+160</f>
        <v>282</v>
      </c>
      <c r="G16" s="8">
        <f>164+162</f>
        <v>326</v>
      </c>
      <c r="H16" s="8">
        <f t="shared" si="0"/>
        <v>2747</v>
      </c>
    </row>
    <row r="17" spans="1:8" ht="15" customHeight="1">
      <c r="A17" s="7">
        <v>13</v>
      </c>
      <c r="B17" s="8" t="s">
        <v>22</v>
      </c>
      <c r="C17" s="30">
        <f>92+163+195+102+213</f>
        <v>765</v>
      </c>
      <c r="D17" s="8">
        <f>85+156+140+73+181</f>
        <v>635</v>
      </c>
      <c r="E17" s="8">
        <f>103+138+117+121+178</f>
        <v>657</v>
      </c>
      <c r="F17" s="8">
        <f>153+150</f>
        <v>303</v>
      </c>
      <c r="G17" s="8">
        <f>192+152</f>
        <v>344</v>
      </c>
      <c r="H17" s="8">
        <f t="shared" si="0"/>
        <v>2704</v>
      </c>
    </row>
    <row r="18" spans="1:8" ht="15" customHeight="1">
      <c r="A18" s="7">
        <v>14</v>
      </c>
      <c r="B18" s="8" t="s">
        <v>11</v>
      </c>
      <c r="C18" s="8">
        <f>135+112+137+175+129</f>
        <v>688</v>
      </c>
      <c r="D18" s="8">
        <f>137+134+123+131+142</f>
        <v>667</v>
      </c>
      <c r="E18" s="8">
        <f>147+145+140+106+145</f>
        <v>683</v>
      </c>
      <c r="F18" s="8">
        <f>141+152</f>
        <v>293</v>
      </c>
      <c r="G18" s="8">
        <f>186+157</f>
        <v>343</v>
      </c>
      <c r="H18" s="8">
        <f t="shared" si="0"/>
        <v>2674</v>
      </c>
    </row>
    <row r="19" spans="1:8" ht="15" customHeight="1">
      <c r="A19" s="7">
        <v>15</v>
      </c>
      <c r="B19" s="19" t="s">
        <v>40</v>
      </c>
      <c r="C19" s="8">
        <f>120+140+122+134+186</f>
        <v>702</v>
      </c>
      <c r="D19" s="8">
        <f>172+156+149+131+94</f>
        <v>702</v>
      </c>
      <c r="E19" s="8">
        <f>97+146+140+144+131</f>
        <v>658</v>
      </c>
      <c r="F19" s="8">
        <f>118+97</f>
        <v>215</v>
      </c>
      <c r="G19" s="8">
        <f>166+122</f>
        <v>288</v>
      </c>
      <c r="H19" s="8">
        <f t="shared" si="0"/>
        <v>2565</v>
      </c>
    </row>
    <row r="20" spans="1:8" ht="12.75">
      <c r="A20" s="7">
        <v>16</v>
      </c>
      <c r="B20" s="8" t="s">
        <v>8</v>
      </c>
      <c r="C20" s="8">
        <f>93+142+183+156+167</f>
        <v>741</v>
      </c>
      <c r="D20" s="8">
        <f>140+146+129+116+107</f>
        <v>638</v>
      </c>
      <c r="E20" s="8">
        <f>143+107+158+143+128</f>
        <v>679</v>
      </c>
      <c r="F20" s="8">
        <f>113+136</f>
        <v>249</v>
      </c>
      <c r="G20" s="8">
        <f>130+112</f>
        <v>242</v>
      </c>
      <c r="H20" s="8">
        <f>SUM(C20:G20)</f>
        <v>2549</v>
      </c>
    </row>
    <row r="21" spans="1:8" ht="15" customHeight="1">
      <c r="A21" s="7">
        <v>17</v>
      </c>
      <c r="B21" s="8" t="s">
        <v>12</v>
      </c>
      <c r="C21" s="8">
        <f>128+120+112+128+164</f>
        <v>652</v>
      </c>
      <c r="D21" s="8">
        <f>76+117+158+140+81</f>
        <v>572</v>
      </c>
      <c r="E21" s="8">
        <f>123+171+125+135+111</f>
        <v>665</v>
      </c>
      <c r="F21" s="8">
        <f>123+140</f>
        <v>263</v>
      </c>
      <c r="G21" s="8">
        <f>136+145</f>
        <v>281</v>
      </c>
      <c r="H21" s="8">
        <f t="shared" si="0"/>
        <v>2433</v>
      </c>
    </row>
    <row r="22" spans="1:8" ht="15.75" customHeight="1">
      <c r="A22" s="7">
        <v>18</v>
      </c>
      <c r="B22" s="19" t="s">
        <v>36</v>
      </c>
      <c r="C22" s="8">
        <f>155+102+112+126+134</f>
        <v>629</v>
      </c>
      <c r="D22" s="8">
        <f>129+148+97+75+157</f>
        <v>606</v>
      </c>
      <c r="E22" s="8">
        <f>153+166+128+119+105</f>
        <v>671</v>
      </c>
      <c r="F22" s="8">
        <f>104+123</f>
        <v>227</v>
      </c>
      <c r="G22" s="8">
        <f>122+91</f>
        <v>213</v>
      </c>
      <c r="H22" s="8">
        <f t="shared" si="0"/>
        <v>2346</v>
      </c>
    </row>
    <row r="23" spans="1:10" ht="12.75" customHeight="1">
      <c r="A23" s="7">
        <v>19</v>
      </c>
      <c r="B23" s="19" t="s">
        <v>37</v>
      </c>
      <c r="C23" s="8">
        <f>155+111+93+140+138</f>
        <v>637</v>
      </c>
      <c r="D23" s="19">
        <f>132+162+110+117+97</f>
        <v>618</v>
      </c>
      <c r="E23" s="8">
        <f>167+128+128+69+79</f>
        <v>571</v>
      </c>
      <c r="F23" s="8">
        <f>154+115</f>
        <v>269</v>
      </c>
      <c r="G23" s="8">
        <f>90+150</f>
        <v>240</v>
      </c>
      <c r="H23" s="8">
        <f t="shared" si="0"/>
        <v>2335</v>
      </c>
      <c r="J23" s="22"/>
    </row>
    <row r="24" spans="1:10" ht="12.75" customHeight="1">
      <c r="A24" s="11"/>
      <c r="B24" s="13" t="s">
        <v>26</v>
      </c>
      <c r="C24" s="18"/>
      <c r="F24" s="13"/>
      <c r="G24" s="15" t="s">
        <v>30</v>
      </c>
      <c r="J24" s="22"/>
    </row>
    <row r="25" spans="1:11" ht="12.75" customHeight="1">
      <c r="A25" s="11"/>
      <c r="B25" s="20" t="s">
        <v>52</v>
      </c>
      <c r="C25" s="12" t="s">
        <v>53</v>
      </c>
      <c r="D25" s="28"/>
      <c r="E25" s="28">
        <v>235</v>
      </c>
      <c r="F25" s="28"/>
      <c r="G25" s="20" t="s">
        <v>54</v>
      </c>
      <c r="H25" s="28"/>
      <c r="J25" s="12" t="s">
        <v>55</v>
      </c>
      <c r="K25">
        <v>643</v>
      </c>
    </row>
    <row r="26" spans="1:11" ht="12.75" customHeight="1">
      <c r="A26" s="11"/>
      <c r="B26" s="20" t="s">
        <v>54</v>
      </c>
      <c r="C26" s="12" t="s">
        <v>55</v>
      </c>
      <c r="D26" s="28"/>
      <c r="E26" s="28">
        <v>226</v>
      </c>
      <c r="F26" s="28"/>
      <c r="G26" s="12" t="s">
        <v>57</v>
      </c>
      <c r="H26" s="28"/>
      <c r="J26" s="22" t="s">
        <v>58</v>
      </c>
      <c r="K26">
        <v>615</v>
      </c>
    </row>
    <row r="27" spans="1:11" ht="12.75" customHeight="1">
      <c r="A27" s="11"/>
      <c r="B27" s="20" t="s">
        <v>56</v>
      </c>
      <c r="C27" s="12" t="s">
        <v>49</v>
      </c>
      <c r="D27" s="28"/>
      <c r="E27" s="28">
        <v>225</v>
      </c>
      <c r="F27" s="28"/>
      <c r="G27" s="20" t="s">
        <v>59</v>
      </c>
      <c r="H27" s="28"/>
      <c r="J27" s="22" t="s">
        <v>55</v>
      </c>
      <c r="K27">
        <v>604</v>
      </c>
    </row>
    <row r="28" spans="2:11" ht="12.75" customHeight="1">
      <c r="B28" s="20"/>
      <c r="C28" s="22"/>
      <c r="G28" s="20" t="s">
        <v>56</v>
      </c>
      <c r="H28" s="14"/>
      <c r="J28" s="12" t="s">
        <v>49</v>
      </c>
      <c r="K28">
        <v>604</v>
      </c>
    </row>
    <row r="29" spans="3:10" ht="12.75" customHeight="1">
      <c r="C29" s="14"/>
      <c r="H29" s="14"/>
      <c r="J29" s="1"/>
    </row>
    <row r="30" spans="2:8" ht="13.5" customHeight="1">
      <c r="B30" s="45" t="s">
        <v>25</v>
      </c>
      <c r="C30" s="45"/>
      <c r="D30" s="45"/>
      <c r="E30" s="45"/>
      <c r="F30" s="45"/>
      <c r="G30" s="45"/>
      <c r="H30" s="45"/>
    </row>
    <row r="31" spans="2:11" ht="13.5" customHeight="1">
      <c r="B31" s="15" t="s">
        <v>1</v>
      </c>
      <c r="C31" s="16" t="s">
        <v>2</v>
      </c>
      <c r="D31" s="16" t="s">
        <v>3</v>
      </c>
      <c r="E31" s="16" t="s">
        <v>4</v>
      </c>
      <c r="F31" s="16" t="s">
        <v>5</v>
      </c>
      <c r="G31" s="16" t="s">
        <v>6</v>
      </c>
      <c r="H31" s="17" t="s">
        <v>7</v>
      </c>
      <c r="K31" s="26" t="s">
        <v>33</v>
      </c>
    </row>
    <row r="32" spans="1:8" ht="12.75" customHeight="1">
      <c r="A32" s="7">
        <v>1</v>
      </c>
      <c r="B32" s="19" t="s">
        <v>19</v>
      </c>
      <c r="C32" s="8">
        <f>120+128+95+88+118</f>
        <v>549</v>
      </c>
      <c r="D32" s="8">
        <f>107+141+115+125+104</f>
        <v>592</v>
      </c>
      <c r="E32" s="8">
        <f>105+137+124+104+110</f>
        <v>580</v>
      </c>
      <c r="F32" s="8">
        <f>104+136</f>
        <v>240</v>
      </c>
      <c r="G32" s="8">
        <f>125+130</f>
        <v>255</v>
      </c>
      <c r="H32" s="8">
        <f>SUM(C32:G32)</f>
        <v>2216</v>
      </c>
    </row>
    <row r="33" spans="1:10" ht="15" customHeight="1">
      <c r="A33" s="7">
        <v>2</v>
      </c>
      <c r="B33" s="19" t="s">
        <v>23</v>
      </c>
      <c r="C33" s="8">
        <f>80+127+125+78+114</f>
        <v>524</v>
      </c>
      <c r="D33" s="8">
        <f>122+97+90+117+99</f>
        <v>525</v>
      </c>
      <c r="E33" s="8">
        <f>92+102+95+73+109</f>
        <v>471</v>
      </c>
      <c r="F33" s="8">
        <f>110+123</f>
        <v>233</v>
      </c>
      <c r="G33" s="8">
        <f>135+107</f>
        <v>242</v>
      </c>
      <c r="H33" s="8">
        <f>SUM(C33:G33)</f>
        <v>1995</v>
      </c>
      <c r="J33" s="9" t="s">
        <v>34</v>
      </c>
    </row>
    <row r="34" spans="1:8" ht="15" customHeight="1">
      <c r="A34" s="7">
        <v>3</v>
      </c>
      <c r="B34" s="19" t="s">
        <v>11</v>
      </c>
      <c r="C34" s="8">
        <f>108+89+147+112+98</f>
        <v>554</v>
      </c>
      <c r="D34" s="8">
        <f>113+67+110+91+86</f>
        <v>467</v>
      </c>
      <c r="E34" s="8">
        <f>88+90+122+93+118</f>
        <v>511</v>
      </c>
      <c r="F34" s="8">
        <f>84+115</f>
        <v>199</v>
      </c>
      <c r="G34" s="8">
        <f>116+92</f>
        <v>208</v>
      </c>
      <c r="H34" s="8">
        <f>SUM(C34:G34)</f>
        <v>1939</v>
      </c>
    </row>
    <row r="35" spans="1:12" ht="15" customHeight="1">
      <c r="A35" s="11"/>
      <c r="K35" s="44" t="s">
        <v>63</v>
      </c>
      <c r="L35" s="23"/>
    </row>
    <row r="36" spans="1:8" ht="15" customHeight="1">
      <c r="A36" s="11"/>
      <c r="B36" s="15" t="s">
        <v>26</v>
      </c>
      <c r="C36" s="18"/>
      <c r="F36" s="15" t="s">
        <v>51</v>
      </c>
      <c r="H36" s="12"/>
    </row>
    <row r="37" spans="1:11" ht="15" customHeight="1">
      <c r="A37" s="11"/>
      <c r="B37" s="35" t="s">
        <v>60</v>
      </c>
      <c r="C37" s="21" t="s">
        <v>61</v>
      </c>
      <c r="D37" s="21">
        <v>147</v>
      </c>
      <c r="E37" s="21"/>
      <c r="F37" s="21" t="s">
        <v>62</v>
      </c>
      <c r="G37" s="21"/>
      <c r="H37" s="12"/>
      <c r="J37" s="21" t="s">
        <v>63</v>
      </c>
      <c r="K37">
        <v>406</v>
      </c>
    </row>
    <row r="38" spans="1:10" ht="15" customHeight="1">
      <c r="A38" s="11"/>
      <c r="B38" s="35"/>
      <c r="C38" s="21"/>
      <c r="D38" s="21"/>
      <c r="E38" s="21"/>
      <c r="F38" s="21"/>
      <c r="G38" s="21"/>
      <c r="H38" s="12"/>
      <c r="J38" s="21"/>
    </row>
    <row r="39" spans="1:10" ht="15" customHeight="1">
      <c r="A39" s="11"/>
      <c r="B39" s="35"/>
      <c r="C39" s="21"/>
      <c r="D39" s="21"/>
      <c r="E39" s="21"/>
      <c r="F39" s="21"/>
      <c r="G39" s="21"/>
      <c r="H39" s="12"/>
      <c r="J39" s="21"/>
    </row>
    <row r="40" spans="1:10" ht="15" customHeight="1">
      <c r="A40" s="11"/>
      <c r="B40" s="35"/>
      <c r="C40" s="21"/>
      <c r="D40" s="21"/>
      <c r="E40" s="21"/>
      <c r="F40" s="21"/>
      <c r="G40" s="21"/>
      <c r="H40" s="12"/>
      <c r="J40" s="21"/>
    </row>
    <row r="41" spans="2:10" ht="15" customHeight="1">
      <c r="B41" s="15"/>
      <c r="C41" s="21"/>
      <c r="F41" s="15"/>
      <c r="J41" s="9"/>
    </row>
    <row r="42" spans="3:10" ht="15" customHeight="1">
      <c r="C42" s="29"/>
      <c r="D42" s="29"/>
      <c r="E42" s="29"/>
      <c r="F42" s="29"/>
      <c r="G42" s="29"/>
      <c r="J42" s="9"/>
    </row>
    <row r="43" spans="2:10" ht="15" customHeight="1">
      <c r="B43" s="45" t="s">
        <v>41</v>
      </c>
      <c r="C43" s="45"/>
      <c r="D43" s="45"/>
      <c r="E43" s="45"/>
      <c r="F43" s="45"/>
      <c r="G43" s="45"/>
      <c r="H43" s="45"/>
      <c r="J43" s="9"/>
    </row>
    <row r="44" spans="2:10" ht="15" customHeight="1">
      <c r="B44" s="46">
        <v>40929</v>
      </c>
      <c r="C44" s="46"/>
      <c r="D44" s="46"/>
      <c r="E44" s="46"/>
      <c r="F44" s="46"/>
      <c r="G44" s="46"/>
      <c r="H44" s="46"/>
      <c r="J44" s="9"/>
    </row>
    <row r="45" spans="2:10" ht="15" customHeight="1">
      <c r="B45" s="45" t="s">
        <v>27</v>
      </c>
      <c r="C45" s="45"/>
      <c r="D45" s="45"/>
      <c r="E45" s="45"/>
      <c r="F45" s="45"/>
      <c r="G45" s="45"/>
      <c r="H45" s="45"/>
      <c r="J45" s="9"/>
    </row>
    <row r="46" spans="2:8" ht="11.25" customHeight="1">
      <c r="B46" s="15" t="s">
        <v>1</v>
      </c>
      <c r="C46" s="16" t="s">
        <v>2</v>
      </c>
      <c r="D46" s="16" t="s">
        <v>3</v>
      </c>
      <c r="E46" s="16" t="s">
        <v>4</v>
      </c>
      <c r="F46" s="16" t="s">
        <v>5</v>
      </c>
      <c r="G46" s="16" t="s">
        <v>6</v>
      </c>
      <c r="H46" s="17" t="s">
        <v>7</v>
      </c>
    </row>
    <row r="47" spans="1:9" ht="14.25" customHeight="1">
      <c r="A47" s="7">
        <v>1</v>
      </c>
      <c r="B47" s="8" t="s">
        <v>20</v>
      </c>
      <c r="C47" s="37">
        <f>199+278+164+237+179</f>
        <v>1057</v>
      </c>
      <c r="D47" s="38">
        <f>227+233+232+194+160</f>
        <v>1046</v>
      </c>
      <c r="E47" s="39">
        <f>255+234+244+182+211</f>
        <v>1126</v>
      </c>
      <c r="F47" s="40">
        <f>222+202</f>
        <v>424</v>
      </c>
      <c r="G47" s="41">
        <f>218+198</f>
        <v>416</v>
      </c>
      <c r="H47" s="8">
        <f aca="true" t="shared" si="1" ref="H47:H65">SUM(C47:G47)</f>
        <v>4069</v>
      </c>
      <c r="I47" s="2"/>
    </row>
    <row r="48" spans="1:9" ht="12.75" customHeight="1">
      <c r="A48" s="7">
        <v>2</v>
      </c>
      <c r="B48" s="8" t="s">
        <v>15</v>
      </c>
      <c r="C48" s="8">
        <f>247+248+194+181+216</f>
        <v>1086</v>
      </c>
      <c r="D48" s="36">
        <f>213+216+237+207+204</f>
        <v>1077</v>
      </c>
      <c r="E48" s="36">
        <f>238+257+212+146+168</f>
        <v>1021</v>
      </c>
      <c r="F48" s="36">
        <f>190+257</f>
        <v>447</v>
      </c>
      <c r="G48" s="36">
        <f>146+201</f>
        <v>347</v>
      </c>
      <c r="H48" s="8">
        <f t="shared" si="1"/>
        <v>3978</v>
      </c>
      <c r="I48" s="3"/>
    </row>
    <row r="49" spans="1:9" ht="13.5" customHeight="1">
      <c r="A49" s="7">
        <v>3</v>
      </c>
      <c r="B49" s="8" t="s">
        <v>23</v>
      </c>
      <c r="C49" s="8">
        <f>300+179+266+169+171</f>
        <v>1085</v>
      </c>
      <c r="D49" s="8">
        <f>277+204+185+225+197</f>
        <v>1088</v>
      </c>
      <c r="E49" s="8">
        <f>171+235+160+196+212</f>
        <v>974</v>
      </c>
      <c r="F49" s="8">
        <f>218+173</f>
        <v>391</v>
      </c>
      <c r="G49" s="8">
        <f>203+193</f>
        <v>396</v>
      </c>
      <c r="H49" s="8">
        <f t="shared" si="1"/>
        <v>3934</v>
      </c>
      <c r="I49" s="2"/>
    </row>
    <row r="50" spans="1:8" ht="12.75">
      <c r="A50" s="7">
        <v>4</v>
      </c>
      <c r="B50" s="8" t="s">
        <v>11</v>
      </c>
      <c r="C50" s="8">
        <f>224+213+216+171+227</f>
        <v>1051</v>
      </c>
      <c r="D50" s="8">
        <f>233+170+191+216+193</f>
        <v>1003</v>
      </c>
      <c r="E50" s="8">
        <f>177+199+258+160+224</f>
        <v>1018</v>
      </c>
      <c r="F50" s="8">
        <f>213+256</f>
        <v>469</v>
      </c>
      <c r="G50" s="19">
        <f>168+167</f>
        <v>335</v>
      </c>
      <c r="H50" s="8">
        <f t="shared" si="1"/>
        <v>3876</v>
      </c>
    </row>
    <row r="51" spans="1:8" ht="15" customHeight="1">
      <c r="A51" s="7">
        <v>5</v>
      </c>
      <c r="B51" s="8" t="s">
        <v>17</v>
      </c>
      <c r="C51" s="19">
        <f>172+149+171+199+171</f>
        <v>862</v>
      </c>
      <c r="D51" s="8">
        <f>216+202+223+204+157</f>
        <v>1002</v>
      </c>
      <c r="E51" s="8">
        <f>220+163+234+202+237</f>
        <v>1056</v>
      </c>
      <c r="F51" s="8">
        <f>279+218</f>
        <v>497</v>
      </c>
      <c r="G51" s="8">
        <f>213+224</f>
        <v>437</v>
      </c>
      <c r="H51" s="8">
        <f t="shared" si="1"/>
        <v>3854</v>
      </c>
    </row>
    <row r="52" spans="1:11" ht="15" customHeight="1">
      <c r="A52" s="7">
        <v>6</v>
      </c>
      <c r="B52" s="8" t="s">
        <v>21</v>
      </c>
      <c r="C52" s="8">
        <f>200+232+179+203+243</f>
        <v>1057</v>
      </c>
      <c r="D52" s="8">
        <f>181+176+221+257+164</f>
        <v>999</v>
      </c>
      <c r="E52" s="8">
        <f>225+193+177+193+161</f>
        <v>949</v>
      </c>
      <c r="F52" s="8">
        <f>194+215</f>
        <v>409</v>
      </c>
      <c r="G52" s="19">
        <f>192+242</f>
        <v>434</v>
      </c>
      <c r="H52" s="8">
        <f t="shared" si="1"/>
        <v>3848</v>
      </c>
      <c r="K52" s="26" t="s">
        <v>35</v>
      </c>
    </row>
    <row r="53" spans="1:8" ht="15" customHeight="1">
      <c r="A53" s="7">
        <v>7</v>
      </c>
      <c r="B53" s="8" t="s">
        <v>9</v>
      </c>
      <c r="C53" s="8">
        <f>257+209+217+170+215</f>
        <v>1068</v>
      </c>
      <c r="D53" s="8">
        <f>199+225+185+144+153</f>
        <v>906</v>
      </c>
      <c r="E53" s="8">
        <f>211+227+177+189+162</f>
        <v>966</v>
      </c>
      <c r="F53" s="8">
        <f>234+240</f>
        <v>474</v>
      </c>
      <c r="G53" s="19">
        <f>143+205</f>
        <v>348</v>
      </c>
      <c r="H53" s="8">
        <f t="shared" si="1"/>
        <v>3762</v>
      </c>
    </row>
    <row r="54" spans="1:10" ht="15" customHeight="1">
      <c r="A54" s="7">
        <v>8</v>
      </c>
      <c r="B54" s="19" t="s">
        <v>40</v>
      </c>
      <c r="C54" s="8">
        <f>161+264+153+187+185</f>
        <v>950</v>
      </c>
      <c r="D54" s="8">
        <f>145+188+207+232+212</f>
        <v>984</v>
      </c>
      <c r="E54" s="8">
        <f>199+204+185+216+117</f>
        <v>921</v>
      </c>
      <c r="F54">
        <f>228+165</f>
        <v>393</v>
      </c>
      <c r="G54" s="8">
        <f>209+214</f>
        <v>423</v>
      </c>
      <c r="H54" s="8">
        <f t="shared" si="1"/>
        <v>3671</v>
      </c>
      <c r="J54" s="25" t="s">
        <v>34</v>
      </c>
    </row>
    <row r="55" spans="1:8" ht="15" customHeight="1">
      <c r="A55" s="7">
        <v>9</v>
      </c>
      <c r="B55" s="8" t="s">
        <v>24</v>
      </c>
      <c r="C55" s="8">
        <f>154+190+199+192+248</f>
        <v>983</v>
      </c>
      <c r="D55" s="8">
        <f>155+211+201+188+300</f>
        <v>1055</v>
      </c>
      <c r="E55" s="8">
        <f>189+146+211+168+196</f>
        <v>910</v>
      </c>
      <c r="F55" s="8">
        <f>221+157</f>
        <v>378</v>
      </c>
      <c r="G55" s="19">
        <f>177+166</f>
        <v>343</v>
      </c>
      <c r="H55" s="8">
        <f t="shared" si="1"/>
        <v>3669</v>
      </c>
    </row>
    <row r="56" spans="1:11" ht="15" customHeight="1">
      <c r="A56" s="7">
        <v>10</v>
      </c>
      <c r="B56" s="8" t="s">
        <v>8</v>
      </c>
      <c r="C56" s="8">
        <f>180+160+205+187+160</f>
        <v>892</v>
      </c>
      <c r="D56" s="8">
        <f>213+167+213+184+157</f>
        <v>934</v>
      </c>
      <c r="E56" s="8">
        <f>236+190+209+216+166</f>
        <v>1017</v>
      </c>
      <c r="F56" s="8">
        <f>180+253</f>
        <v>433</v>
      </c>
      <c r="G56" s="8">
        <f>205+175</f>
        <v>380</v>
      </c>
      <c r="H56" s="8">
        <f t="shared" si="1"/>
        <v>3656</v>
      </c>
      <c r="K56" s="44" t="s">
        <v>55</v>
      </c>
    </row>
    <row r="57" spans="1:8" ht="15" customHeight="1">
      <c r="A57" s="7">
        <v>11</v>
      </c>
      <c r="B57" s="19" t="s">
        <v>37</v>
      </c>
      <c r="C57" s="8">
        <f>200+183+234+172+142</f>
        <v>931</v>
      </c>
      <c r="D57" s="8">
        <f>158+178+214+234+201</f>
        <v>985</v>
      </c>
      <c r="E57" s="8">
        <f>168+171+191+204+174</f>
        <v>908</v>
      </c>
      <c r="F57" s="30">
        <f>200+203</f>
        <v>403</v>
      </c>
      <c r="G57" s="8">
        <f>182+237</f>
        <v>419</v>
      </c>
      <c r="H57" s="8">
        <f t="shared" si="1"/>
        <v>3646</v>
      </c>
    </row>
    <row r="58" spans="1:12" ht="15" customHeight="1">
      <c r="A58" s="7">
        <v>12</v>
      </c>
      <c r="B58" s="8" t="s">
        <v>22</v>
      </c>
      <c r="C58" s="8">
        <f>159+235+203+173+215</f>
        <v>985</v>
      </c>
      <c r="D58" s="8">
        <f>204+213+193+225+197</f>
        <v>1032</v>
      </c>
      <c r="E58" s="8">
        <f>162+203+162+203+177</f>
        <v>907</v>
      </c>
      <c r="F58" s="19">
        <f>153+191</f>
        <v>344</v>
      </c>
      <c r="G58" s="8">
        <f>170+193</f>
        <v>363</v>
      </c>
      <c r="H58" s="8">
        <f t="shared" si="1"/>
        <v>3631</v>
      </c>
      <c r="L58" s="9"/>
    </row>
    <row r="59" spans="1:8" ht="15" customHeight="1">
      <c r="A59" s="7">
        <v>13</v>
      </c>
      <c r="B59" s="8" t="s">
        <v>14</v>
      </c>
      <c r="C59" s="8">
        <f>208+146+267+213+184</f>
        <v>1018</v>
      </c>
      <c r="D59" s="8">
        <f>186+204+157+194+140</f>
        <v>881</v>
      </c>
      <c r="E59" s="8">
        <f>173+206+189+213+179</f>
        <v>960</v>
      </c>
      <c r="F59" s="8">
        <f>214+158</f>
        <v>372</v>
      </c>
      <c r="G59" s="8">
        <f>173+186</f>
        <v>359</v>
      </c>
      <c r="H59" s="8">
        <f t="shared" si="1"/>
        <v>3590</v>
      </c>
    </row>
    <row r="60" spans="1:12" ht="15" customHeight="1">
      <c r="A60" s="7">
        <v>14</v>
      </c>
      <c r="B60" s="19" t="s">
        <v>39</v>
      </c>
      <c r="C60" s="8">
        <f>180+222+146+167+236</f>
        <v>951</v>
      </c>
      <c r="D60" s="8">
        <f>148+200+248+179+212</f>
        <v>987</v>
      </c>
      <c r="E60" s="8">
        <f>175+186+176+224+137</f>
        <v>898</v>
      </c>
      <c r="F60" s="8">
        <f>199+173</f>
        <v>372</v>
      </c>
      <c r="G60" s="8">
        <f>198+180</f>
        <v>378</v>
      </c>
      <c r="H60" s="8">
        <f t="shared" si="1"/>
        <v>3586</v>
      </c>
      <c r="J60" s="9" t="s">
        <v>28</v>
      </c>
      <c r="L60" s="24"/>
    </row>
    <row r="61" spans="1:8" ht="15" customHeight="1">
      <c r="A61" s="7">
        <v>15</v>
      </c>
      <c r="B61" s="8" t="s">
        <v>13</v>
      </c>
      <c r="C61" s="8">
        <f>269+143+215+225+182</f>
        <v>1034</v>
      </c>
      <c r="D61" s="8">
        <f>231+194+152+157+133</f>
        <v>867</v>
      </c>
      <c r="E61" s="8">
        <f>164+181+169+201+133</f>
        <v>848</v>
      </c>
      <c r="F61" s="8">
        <f>190+147</f>
        <v>337</v>
      </c>
      <c r="G61" s="8">
        <f>211+160</f>
        <v>371</v>
      </c>
      <c r="H61" s="8">
        <f t="shared" si="1"/>
        <v>3457</v>
      </c>
    </row>
    <row r="62" spans="1:11" ht="15" customHeight="1">
      <c r="A62" s="7">
        <v>16</v>
      </c>
      <c r="B62" s="8" t="s">
        <v>19</v>
      </c>
      <c r="C62" s="8">
        <f>140+164+145+175+147</f>
        <v>771</v>
      </c>
      <c r="D62" s="8">
        <f>176+176+147+181+204</f>
        <v>884</v>
      </c>
      <c r="E62" s="8">
        <f>213+146+171+173+244</f>
        <v>947</v>
      </c>
      <c r="F62" s="8">
        <f>195+171</f>
        <v>366</v>
      </c>
      <c r="G62" s="8">
        <f>191+144</f>
        <v>335</v>
      </c>
      <c r="H62" s="8">
        <f t="shared" si="1"/>
        <v>3303</v>
      </c>
      <c r="K62" s="24" t="s">
        <v>44</v>
      </c>
    </row>
    <row r="63" spans="1:8" ht="15" customHeight="1">
      <c r="A63" s="7">
        <v>17</v>
      </c>
      <c r="B63" s="19" t="s">
        <v>38</v>
      </c>
      <c r="C63" s="8">
        <f>189+216+200+136+146</f>
        <v>887</v>
      </c>
      <c r="D63" s="8">
        <f>129+163+211+191+139</f>
        <v>833</v>
      </c>
      <c r="E63" s="8">
        <f>203+178+179+149+197</f>
        <v>906</v>
      </c>
      <c r="F63" s="8">
        <f>149+151</f>
        <v>300</v>
      </c>
      <c r="G63" s="8">
        <f>192+160</f>
        <v>352</v>
      </c>
      <c r="H63" s="8">
        <f t="shared" si="1"/>
        <v>3278</v>
      </c>
    </row>
    <row r="64" spans="1:8" ht="15" customHeight="1">
      <c r="A64" s="7">
        <v>18</v>
      </c>
      <c r="B64" s="19" t="s">
        <v>36</v>
      </c>
      <c r="C64" s="8">
        <f>125+144+150+155+159</f>
        <v>733</v>
      </c>
      <c r="D64" s="8">
        <f>193+183+215+133+134</f>
        <v>858</v>
      </c>
      <c r="E64" s="8">
        <f>155+197+156+158+118</f>
        <v>784</v>
      </c>
      <c r="F64" s="8">
        <f>150+149</f>
        <v>299</v>
      </c>
      <c r="G64" s="8">
        <f>169+165</f>
        <v>334</v>
      </c>
      <c r="H64" s="8">
        <f t="shared" si="1"/>
        <v>3008</v>
      </c>
    </row>
    <row r="65" spans="1:8" ht="15" customHeight="1">
      <c r="A65" s="7">
        <v>19</v>
      </c>
      <c r="B65" s="8" t="s">
        <v>12</v>
      </c>
      <c r="C65" s="8">
        <f>136+77+114+115+190</f>
        <v>632</v>
      </c>
      <c r="D65" s="8">
        <f>154+89+135+163+124</f>
        <v>665</v>
      </c>
      <c r="E65" s="8">
        <f>163+117+151+178+89</f>
        <v>698</v>
      </c>
      <c r="F65" s="8">
        <f>144+105</f>
        <v>249</v>
      </c>
      <c r="G65" s="8">
        <f>128+158</f>
        <v>286</v>
      </c>
      <c r="H65" s="8">
        <f t="shared" si="1"/>
        <v>2530</v>
      </c>
    </row>
    <row r="66" spans="1:8" ht="15" customHeight="1">
      <c r="A66" s="11"/>
      <c r="B66" s="13" t="s">
        <v>26</v>
      </c>
      <c r="C66" s="28"/>
      <c r="D66" s="28"/>
      <c r="E66" s="28"/>
      <c r="F66" s="28"/>
      <c r="G66" s="15" t="s">
        <v>30</v>
      </c>
      <c r="H66" s="28"/>
    </row>
    <row r="67" spans="1:10" ht="15" customHeight="1">
      <c r="A67" s="11"/>
      <c r="B67" s="35" t="s">
        <v>42</v>
      </c>
      <c r="C67" s="12" t="s">
        <v>44</v>
      </c>
      <c r="D67" s="28"/>
      <c r="E67" s="28">
        <v>300</v>
      </c>
      <c r="F67" s="28"/>
      <c r="G67" s="12" t="s">
        <v>42</v>
      </c>
      <c r="H67" s="28"/>
      <c r="J67">
        <v>748</v>
      </c>
    </row>
    <row r="68" spans="1:10" ht="15" customHeight="1">
      <c r="A68" s="11"/>
      <c r="B68" s="35" t="s">
        <v>43</v>
      </c>
      <c r="C68" s="12" t="s">
        <v>45</v>
      </c>
      <c r="D68" s="28"/>
      <c r="E68" s="28">
        <v>300</v>
      </c>
      <c r="F68" s="28"/>
      <c r="G68" s="12" t="s">
        <v>46</v>
      </c>
      <c r="H68" s="28"/>
      <c r="J68">
        <v>745</v>
      </c>
    </row>
    <row r="69" spans="1:10" ht="15" customHeight="1">
      <c r="A69" s="11"/>
      <c r="B69" s="35" t="s">
        <v>46</v>
      </c>
      <c r="C69" s="12" t="s">
        <v>47</v>
      </c>
      <c r="D69" s="28"/>
      <c r="E69" s="28">
        <v>278</v>
      </c>
      <c r="F69" s="28"/>
      <c r="G69" s="12" t="s">
        <v>43</v>
      </c>
      <c r="H69" s="28"/>
      <c r="J69">
        <v>744</v>
      </c>
    </row>
    <row r="70" spans="1:7" ht="15" customHeight="1">
      <c r="A70" s="11"/>
      <c r="B70" s="28"/>
      <c r="C70" s="28"/>
      <c r="D70" s="28"/>
      <c r="E70" s="28"/>
      <c r="F70" s="28"/>
      <c r="G70" s="28"/>
    </row>
    <row r="71" spans="1:8" ht="15" customHeight="1">
      <c r="A71" s="11"/>
      <c r="B71" s="45" t="s">
        <v>29</v>
      </c>
      <c r="C71" s="45"/>
      <c r="D71" s="45"/>
      <c r="E71" s="45"/>
      <c r="F71" s="45"/>
      <c r="G71" s="45"/>
      <c r="H71" s="45"/>
    </row>
    <row r="72" spans="1:8" ht="15" customHeight="1">
      <c r="A72" s="11"/>
      <c r="B72" s="15" t="s">
        <v>1</v>
      </c>
      <c r="C72" s="16" t="s">
        <v>2</v>
      </c>
      <c r="D72" s="16" t="s">
        <v>3</v>
      </c>
      <c r="E72" s="16" t="s">
        <v>4</v>
      </c>
      <c r="F72" s="16" t="s">
        <v>5</v>
      </c>
      <c r="G72" s="16" t="s">
        <v>6</v>
      </c>
      <c r="H72" s="28"/>
    </row>
    <row r="73" ht="12.75">
      <c r="H73" s="17" t="s">
        <v>7</v>
      </c>
    </row>
    <row r="74" spans="1:11" ht="15">
      <c r="A74" s="7">
        <v>1</v>
      </c>
      <c r="B74" s="19" t="s">
        <v>20</v>
      </c>
      <c r="C74" s="32">
        <f>214+184+177+132+126</f>
        <v>833</v>
      </c>
      <c r="D74" s="8">
        <f>191+168+198+223+201</f>
        <v>981</v>
      </c>
      <c r="E74" s="8">
        <f>211+246+164+158+214</f>
        <v>993</v>
      </c>
      <c r="F74" s="8">
        <f>187+211</f>
        <v>398</v>
      </c>
      <c r="G74" s="8">
        <f>179+226</f>
        <v>405</v>
      </c>
      <c r="H74" s="8">
        <f aca="true" t="shared" si="2" ref="H74:H81">SUM(C74:G74)</f>
        <v>3610</v>
      </c>
      <c r="K74" s="26" t="s">
        <v>31</v>
      </c>
    </row>
    <row r="75" spans="1:8" ht="12.75">
      <c r="A75" s="7">
        <v>2</v>
      </c>
      <c r="B75" s="33" t="s">
        <v>15</v>
      </c>
      <c r="C75" s="34">
        <f>231+209+166+176+134</f>
        <v>916</v>
      </c>
      <c r="D75" s="31">
        <f>170+185+151+151+158</f>
        <v>815</v>
      </c>
      <c r="E75" s="8">
        <f>192+238+189+223+145</f>
        <v>987</v>
      </c>
      <c r="F75" s="8">
        <f>187+160</f>
        <v>347</v>
      </c>
      <c r="G75" s="8">
        <f>147+170</f>
        <v>317</v>
      </c>
      <c r="H75" s="8">
        <f t="shared" si="2"/>
        <v>3382</v>
      </c>
    </row>
    <row r="76" spans="1:11" ht="15">
      <c r="A76" s="7">
        <v>3</v>
      </c>
      <c r="B76" s="8" t="s">
        <v>11</v>
      </c>
      <c r="C76" s="30">
        <f>186+143+155+143+222</f>
        <v>849</v>
      </c>
      <c r="D76" s="8">
        <f>168+201+128+210+196</f>
        <v>903</v>
      </c>
      <c r="E76" s="8">
        <f>135+183+138+157+216</f>
        <v>829</v>
      </c>
      <c r="F76" s="8">
        <f>135+212</f>
        <v>347</v>
      </c>
      <c r="G76" s="8">
        <f>209+183</f>
        <v>392</v>
      </c>
      <c r="H76" s="8">
        <f t="shared" si="2"/>
        <v>3320</v>
      </c>
      <c r="J76" s="25" t="s">
        <v>32</v>
      </c>
      <c r="K76" s="23"/>
    </row>
    <row r="77" spans="1:8" ht="13.5" customHeight="1">
      <c r="A77" s="7">
        <v>4</v>
      </c>
      <c r="B77" s="19" t="s">
        <v>23</v>
      </c>
      <c r="C77" s="8">
        <f>237+146+124+190+167</f>
        <v>864</v>
      </c>
      <c r="D77" s="8">
        <f>210+150+122+125+202</f>
        <v>809</v>
      </c>
      <c r="E77" s="8">
        <f>233+140+179+95+155</f>
        <v>802</v>
      </c>
      <c r="F77" s="8">
        <f>212+169</f>
        <v>381</v>
      </c>
      <c r="G77" s="8">
        <f>189+183</f>
        <v>372</v>
      </c>
      <c r="H77" s="8">
        <f t="shared" si="2"/>
        <v>3228</v>
      </c>
    </row>
    <row r="78" spans="1:11" ht="15" customHeight="1">
      <c r="A78" s="7">
        <v>5</v>
      </c>
      <c r="B78" s="8" t="s">
        <v>21</v>
      </c>
      <c r="C78" s="8">
        <f>127+95+134+227+184</f>
        <v>767</v>
      </c>
      <c r="D78" s="8">
        <f>257+110+80+247+202</f>
        <v>896</v>
      </c>
      <c r="E78" s="8">
        <f>180+124+138+157+242</f>
        <v>841</v>
      </c>
      <c r="F78" s="8">
        <f>141+175</f>
        <v>316</v>
      </c>
      <c r="G78" s="8">
        <f>192+196</f>
        <v>388</v>
      </c>
      <c r="H78" s="8">
        <f t="shared" si="2"/>
        <v>3208</v>
      </c>
      <c r="K78" s="44" t="s">
        <v>47</v>
      </c>
    </row>
    <row r="79" spans="1:8" ht="15" customHeight="1">
      <c r="A79" s="7">
        <v>6</v>
      </c>
      <c r="B79" s="19" t="s">
        <v>37</v>
      </c>
      <c r="C79" s="19">
        <f>139+149+166+224+203</f>
        <v>881</v>
      </c>
      <c r="D79" s="8">
        <f>129+167+164+149+158</f>
        <v>767</v>
      </c>
      <c r="E79" s="8">
        <f>129+159+141+128+128</f>
        <v>685</v>
      </c>
      <c r="F79" s="19">
        <f>184+134</f>
        <v>318</v>
      </c>
      <c r="G79" s="8">
        <f>146+182</f>
        <v>328</v>
      </c>
      <c r="H79" s="8">
        <f t="shared" si="2"/>
        <v>2979</v>
      </c>
    </row>
    <row r="80" spans="1:8" ht="15" customHeight="1">
      <c r="A80" s="7">
        <v>7</v>
      </c>
      <c r="B80" s="8" t="s">
        <v>19</v>
      </c>
      <c r="C80" s="8">
        <f>189+139+120+145+142</f>
        <v>735</v>
      </c>
      <c r="D80" s="8">
        <f>162+134+114+150+173</f>
        <v>733</v>
      </c>
      <c r="E80" s="8">
        <f>188+138+157+146+116</f>
        <v>745</v>
      </c>
      <c r="F80" s="8">
        <f>181+129</f>
        <v>310</v>
      </c>
      <c r="G80" s="8">
        <f>137+158</f>
        <v>295</v>
      </c>
      <c r="H80" s="8">
        <f t="shared" si="2"/>
        <v>2818</v>
      </c>
    </row>
    <row r="81" spans="1:8" ht="15" customHeight="1">
      <c r="A81" s="7">
        <v>8</v>
      </c>
      <c r="B81" s="19" t="s">
        <v>39</v>
      </c>
      <c r="C81" s="8">
        <f>158+176+132+153+149</f>
        <v>768</v>
      </c>
      <c r="D81" s="8">
        <f>144+125+167+162+116</f>
        <v>714</v>
      </c>
      <c r="E81" s="8">
        <f>145+167+185+164+126</f>
        <v>787</v>
      </c>
      <c r="F81" s="8">
        <f>147+118</f>
        <v>265</v>
      </c>
      <c r="G81" s="8">
        <f>128+143</f>
        <v>271</v>
      </c>
      <c r="H81" s="8">
        <f t="shared" si="2"/>
        <v>2805</v>
      </c>
    </row>
    <row r="82" spans="2:11" ht="15" customHeight="1">
      <c r="B82" s="13" t="s">
        <v>26</v>
      </c>
      <c r="C82" s="18"/>
      <c r="F82" s="13"/>
      <c r="G82" s="15" t="s">
        <v>30</v>
      </c>
      <c r="K82" s="27"/>
    </row>
    <row r="83" spans="2:12" ht="15" customHeight="1">
      <c r="B83" s="43" t="s">
        <v>48</v>
      </c>
      <c r="C83" s="21" t="s">
        <v>49</v>
      </c>
      <c r="D83" s="21"/>
      <c r="E83" s="21">
        <v>257</v>
      </c>
      <c r="F83" s="42"/>
      <c r="G83" s="21" t="s">
        <v>50</v>
      </c>
      <c r="H83" s="21"/>
      <c r="I83" s="21"/>
      <c r="J83" s="21" t="s">
        <v>44</v>
      </c>
      <c r="K83" s="21"/>
      <c r="L83" s="21">
        <v>680</v>
      </c>
    </row>
    <row r="84" ht="15" customHeight="1"/>
    <row r="85" ht="8.25" customHeight="1"/>
  </sheetData>
  <sheetProtection/>
  <mergeCells count="8">
    <mergeCell ref="B71:H71"/>
    <mergeCell ref="B44:H44"/>
    <mergeCell ref="B1:H1"/>
    <mergeCell ref="B2:H2"/>
    <mergeCell ref="B3:H3"/>
    <mergeCell ref="B30:H30"/>
    <mergeCell ref="B45:H45"/>
    <mergeCell ref="B43:H43"/>
  </mergeCells>
  <printOptions/>
  <pageMargins left="0.7479166666666667" right="0.5701388888888889" top="0.28" bottom="0.3" header="0.27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Linda</cp:lastModifiedBy>
  <cp:lastPrinted>2012-01-23T02:23:38Z</cp:lastPrinted>
  <dcterms:created xsi:type="dcterms:W3CDTF">2010-01-23T04:38:00Z</dcterms:created>
  <dcterms:modified xsi:type="dcterms:W3CDTF">2012-01-23T02:24:08Z</dcterms:modified>
  <cp:category/>
  <cp:version/>
  <cp:contentType/>
  <cp:contentStatus/>
</cp:coreProperties>
</file>